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hidePivotFieldList="1" defaultThemeVersion="166925"/>
  <mc:AlternateContent xmlns:mc="http://schemas.openxmlformats.org/markup-compatibility/2006">
    <mc:Choice Requires="x15">
      <x15ac:absPath xmlns:x15ac="http://schemas.microsoft.com/office/spreadsheetml/2010/11/ac" url="C:\Users\aj16470\AppData\Local\Microsoft\Windows\INetCache\Content.Outlook\AUNXQLTR\"/>
    </mc:Choice>
  </mc:AlternateContent>
  <xr:revisionPtr revIDLastSave="0" documentId="8_{5A539449-6AA7-4226-AAEB-C74BAFA99FE2}" xr6:coauthVersionLast="47" xr6:coauthVersionMax="47" xr10:uidLastSave="{00000000-0000-0000-0000-000000000000}"/>
  <bookViews>
    <workbookView xWindow="-110" yWindow="-110" windowWidth="19420" windowHeight="10300" xr2:uid="{00000000-000D-0000-FFFF-FFFF00000000}"/>
  </bookViews>
  <sheets>
    <sheet name="PAREIŠKĖJO skaičiuoklė" sheetId="4" r:id="rId1"/>
    <sheet name="Sheet5" sheetId="8" r:id="rId2"/>
    <sheet name="Sheet2" sheetId="2" state="hidden" r:id="rId3"/>
  </sheets>
  <definedNames>
    <definedName name="_xlnm._FilterDatabase" localSheetId="2" hidden="1">Sheet2!$C$3:$D$3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83" i="4" l="1"/>
  <c r="B87" i="4"/>
  <c r="G46" i="4"/>
  <c r="H46" i="4" s="1"/>
  <c r="G45" i="4"/>
  <c r="H45" i="4" s="1"/>
  <c r="G44" i="4"/>
  <c r="H44" i="4" s="1"/>
  <c r="G43" i="4"/>
  <c r="H43" i="4" s="1"/>
  <c r="G42" i="4"/>
  <c r="H42" i="4" s="1"/>
  <c r="G41" i="4"/>
  <c r="H41" i="4" s="1"/>
  <c r="G40" i="4"/>
  <c r="H40" i="4" s="1"/>
  <c r="H84" i="4" l="1"/>
  <c r="G84" i="4" s="1"/>
  <c r="H87" i="4"/>
  <c r="G87" i="4" s="1"/>
  <c r="I87" i="4" s="1"/>
  <c r="H82" i="4"/>
  <c r="G82" i="4" s="1"/>
  <c r="I82" i="4" s="1"/>
  <c r="H85" i="4"/>
  <c r="G85" i="4" s="1"/>
  <c r="I85" i="4" s="1"/>
  <c r="H83" i="4"/>
  <c r="G83" i="4" s="1"/>
  <c r="H86" i="4"/>
  <c r="G86" i="4" s="1"/>
  <c r="I86" i="4" s="1"/>
  <c r="H88" i="4"/>
  <c r="G88" i="4" s="1"/>
  <c r="I88" i="4" s="1"/>
  <c r="G36" i="4" l="1"/>
  <c r="H78" i="4" s="1"/>
  <c r="H121" i="4" s="1"/>
  <c r="G35" i="4"/>
  <c r="H77" i="4" s="1"/>
  <c r="G78" i="4" l="1"/>
  <c r="D120" i="4"/>
  <c r="D121" i="4"/>
  <c r="G77" i="4"/>
  <c r="G121" i="4"/>
  <c r="B60" i="4"/>
  <c r="E124" i="4" l="1"/>
  <c r="D124" i="4"/>
  <c r="G124" i="4" s="1"/>
  <c r="C124" i="4"/>
  <c r="E123" i="4"/>
  <c r="D123" i="4"/>
  <c r="H123" i="4" s="1"/>
  <c r="C123" i="4"/>
  <c r="H122" i="4"/>
  <c r="G122" i="4"/>
  <c r="E122" i="4"/>
  <c r="D122" i="4"/>
  <c r="C122" i="4"/>
  <c r="E119" i="4"/>
  <c r="D119" i="4"/>
  <c r="H119" i="4" s="1"/>
  <c r="C119" i="4"/>
  <c r="E118" i="4"/>
  <c r="D118" i="4"/>
  <c r="H118" i="4" s="1"/>
  <c r="C118" i="4"/>
  <c r="D117" i="4"/>
  <c r="H117" i="4" s="1"/>
  <c r="C117" i="4"/>
  <c r="E116" i="4"/>
  <c r="D116" i="4"/>
  <c r="H116" i="4" s="1"/>
  <c r="C116" i="4"/>
  <c r="E115" i="4"/>
  <c r="D115" i="4"/>
  <c r="C115" i="4"/>
  <c r="E114" i="4"/>
  <c r="D114" i="4"/>
  <c r="G114" i="4" s="1"/>
  <c r="C114" i="4"/>
  <c r="E113" i="4"/>
  <c r="D113" i="4"/>
  <c r="H113" i="4" s="1"/>
  <c r="C113" i="4"/>
  <c r="H112" i="4"/>
  <c r="E112" i="4"/>
  <c r="D112" i="4"/>
  <c r="G112" i="4" s="1"/>
  <c r="C112" i="4"/>
  <c r="E111" i="4"/>
  <c r="D111" i="4"/>
  <c r="H111" i="4" s="1"/>
  <c r="C111" i="4"/>
  <c r="E110" i="4"/>
  <c r="D110" i="4"/>
  <c r="G110" i="4" s="1"/>
  <c r="C110" i="4"/>
  <c r="E109" i="4"/>
  <c r="D109" i="4"/>
  <c r="H109" i="4" s="1"/>
  <c r="C109" i="4"/>
  <c r="H108" i="4"/>
  <c r="G108" i="4"/>
  <c r="E108" i="4"/>
  <c r="D108" i="4"/>
  <c r="C108" i="4"/>
  <c r="E107" i="4"/>
  <c r="D107" i="4"/>
  <c r="H107" i="4" s="1"/>
  <c r="C107" i="4"/>
  <c r="E106" i="4"/>
  <c r="D106" i="4"/>
  <c r="H106" i="4" s="1"/>
  <c r="C106" i="4"/>
  <c r="E105" i="4"/>
  <c r="D105" i="4"/>
  <c r="H105" i="4" s="1"/>
  <c r="C105" i="4"/>
  <c r="E104" i="4"/>
  <c r="D104" i="4"/>
  <c r="G104" i="4" s="1"/>
  <c r="C104" i="4"/>
  <c r="E103" i="4"/>
  <c r="D103" i="4"/>
  <c r="C103" i="4"/>
  <c r="E102" i="4"/>
  <c r="D102" i="4"/>
  <c r="G102" i="4" s="1"/>
  <c r="C102" i="4"/>
  <c r="E101" i="4"/>
  <c r="D101" i="4"/>
  <c r="H101" i="4" s="1"/>
  <c r="C101" i="4"/>
  <c r="E100" i="4"/>
  <c r="D100" i="4"/>
  <c r="C100" i="4"/>
  <c r="E99" i="4"/>
  <c r="D99" i="4"/>
  <c r="C99" i="4"/>
  <c r="E98" i="4"/>
  <c r="D98" i="4"/>
  <c r="G98" i="4" s="1"/>
  <c r="C98" i="4"/>
  <c r="E97" i="4"/>
  <c r="D97" i="4"/>
  <c r="H97" i="4" s="1"/>
  <c r="C97" i="4"/>
  <c r="E96" i="4"/>
  <c r="D96" i="4"/>
  <c r="G96" i="4" s="1"/>
  <c r="C96" i="4"/>
  <c r="E95" i="4"/>
  <c r="D95" i="4"/>
  <c r="G95" i="4" s="1"/>
  <c r="C95" i="4"/>
  <c r="E94" i="4"/>
  <c r="D94" i="4"/>
  <c r="C94" i="4"/>
  <c r="D93" i="4"/>
  <c r="H93" i="4" s="1"/>
  <c r="D81" i="4"/>
  <c r="D80" i="4"/>
  <c r="D79" i="4"/>
  <c r="D78" i="4"/>
  <c r="I78" i="4" s="1"/>
  <c r="D77" i="4"/>
  <c r="I77" i="4" s="1"/>
  <c r="D76" i="4"/>
  <c r="D75" i="4"/>
  <c r="I75" i="4" s="1"/>
  <c r="H74" i="4"/>
  <c r="G74" i="4" s="1"/>
  <c r="D74" i="4"/>
  <c r="I74" i="4" s="1"/>
  <c r="I73" i="4"/>
  <c r="H73" i="4"/>
  <c r="G73" i="4" s="1"/>
  <c r="D73" i="4"/>
  <c r="J73" i="4" s="1"/>
  <c r="D72" i="4"/>
  <c r="I72" i="4" s="1"/>
  <c r="D71" i="4"/>
  <c r="I71" i="4" s="1"/>
  <c r="D70" i="4"/>
  <c r="D69" i="4"/>
  <c r="D68" i="4"/>
  <c r="D67" i="4"/>
  <c r="D66" i="4"/>
  <c r="H65" i="4"/>
  <c r="G65" i="4" s="1"/>
  <c r="D65" i="4"/>
  <c r="D64" i="4"/>
  <c r="D63" i="4"/>
  <c r="D62" i="4"/>
  <c r="D61" i="4"/>
  <c r="D60" i="4"/>
  <c r="D59" i="4"/>
  <c r="H58" i="4"/>
  <c r="G58" i="4" s="1"/>
  <c r="D58" i="4"/>
  <c r="D57" i="4"/>
  <c r="H56" i="4"/>
  <c r="G56" i="4" s="1"/>
  <c r="D56" i="4"/>
  <c r="D55" i="4"/>
  <c r="D54" i="4"/>
  <c r="D53" i="4"/>
  <c r="D52" i="4"/>
  <c r="D51" i="4"/>
  <c r="D50" i="4"/>
  <c r="G39" i="4"/>
  <c r="H39" i="4" s="1"/>
  <c r="G38" i="4"/>
  <c r="H38" i="4" s="1"/>
  <c r="G37" i="4"/>
  <c r="H79" i="4" s="1"/>
  <c r="G79" i="4" s="1"/>
  <c r="I79" i="4" s="1"/>
  <c r="H35" i="4"/>
  <c r="G34" i="4"/>
  <c r="H76" i="4" s="1"/>
  <c r="G76" i="4" s="1"/>
  <c r="I76" i="4" s="1"/>
  <c r="G33" i="4"/>
  <c r="H75" i="4" s="1"/>
  <c r="G75" i="4" s="1"/>
  <c r="G30" i="4"/>
  <c r="H72" i="4" s="1"/>
  <c r="G72" i="4" s="1"/>
  <c r="G28" i="4"/>
  <c r="H70" i="4" s="1"/>
  <c r="G70" i="4" s="1"/>
  <c r="I70" i="4" s="1"/>
  <c r="G27" i="4"/>
  <c r="H27" i="4" s="1"/>
  <c r="G26" i="4"/>
  <c r="H68" i="4" s="1"/>
  <c r="G68" i="4" s="1"/>
  <c r="I68" i="4" s="1"/>
  <c r="G25" i="4"/>
  <c r="H67" i="4" s="1"/>
  <c r="G67" i="4" s="1"/>
  <c r="I67" i="4" s="1"/>
  <c r="G24" i="4"/>
  <c r="H66" i="4" s="1"/>
  <c r="G66" i="4" s="1"/>
  <c r="I66" i="4" s="1"/>
  <c r="G22" i="4"/>
  <c r="H64" i="4" s="1"/>
  <c r="G64" i="4" s="1"/>
  <c r="I64" i="4" s="1"/>
  <c r="G21" i="4"/>
  <c r="H63" i="4" s="1"/>
  <c r="G20" i="4"/>
  <c r="H62" i="4" s="1"/>
  <c r="G62" i="4" s="1"/>
  <c r="I62" i="4" s="1"/>
  <c r="G19" i="4"/>
  <c r="H19" i="4" s="1"/>
  <c r="G18" i="4"/>
  <c r="H60" i="4" s="1"/>
  <c r="G60" i="4" s="1"/>
  <c r="G17" i="4"/>
  <c r="H59" i="4" s="1"/>
  <c r="G59" i="4" s="1"/>
  <c r="I59" i="4" s="1"/>
  <c r="G15" i="4"/>
  <c r="H15" i="4" s="1"/>
  <c r="G13" i="4"/>
  <c r="H55" i="4" s="1"/>
  <c r="G55" i="4" s="1"/>
  <c r="I55" i="4" s="1"/>
  <c r="G12" i="4"/>
  <c r="H54" i="4" s="1"/>
  <c r="G54" i="4" s="1"/>
  <c r="I54" i="4" s="1"/>
  <c r="G11" i="4"/>
  <c r="H53" i="4" s="1"/>
  <c r="G53" i="4" s="1"/>
  <c r="I53" i="4" s="1"/>
  <c r="G10" i="4"/>
  <c r="H10" i="4" s="1"/>
  <c r="G9" i="4"/>
  <c r="H9" i="4" s="1"/>
  <c r="G8" i="4"/>
  <c r="H50" i="4" s="1"/>
  <c r="G50" i="4" s="1"/>
  <c r="I50" i="4" s="1"/>
  <c r="G93" i="4" l="1"/>
  <c r="G63" i="4"/>
  <c r="I63" i="4" s="1"/>
  <c r="H96" i="4"/>
  <c r="H104" i="4"/>
  <c r="H11" i="4"/>
  <c r="H36" i="4"/>
  <c r="H25" i="4"/>
  <c r="H12" i="4"/>
  <c r="H110" i="4"/>
  <c r="H20" i="4"/>
  <c r="G115" i="4"/>
  <c r="H115" i="4"/>
  <c r="H8" i="4"/>
  <c r="H13" i="4"/>
  <c r="H102" i="4"/>
  <c r="G119" i="4"/>
  <c r="H124" i="4"/>
  <c r="H114" i="4"/>
  <c r="H98" i="4"/>
  <c r="H17" i="4"/>
  <c r="H80" i="4"/>
  <c r="G80" i="4" s="1"/>
  <c r="I80" i="4" s="1"/>
  <c r="G107" i="4"/>
  <c r="G123" i="4"/>
  <c r="G109" i="4"/>
  <c r="G101" i="4"/>
  <c r="H95" i="4"/>
  <c r="H51" i="4"/>
  <c r="G51" i="4" s="1"/>
  <c r="I51" i="4" s="1"/>
  <c r="H94" i="4"/>
  <c r="G97" i="4"/>
  <c r="G106" i="4"/>
  <c r="G111" i="4"/>
  <c r="H30" i="4"/>
  <c r="H52" i="4"/>
  <c r="G52" i="4" s="1"/>
  <c r="I52" i="4" s="1"/>
  <c r="H21" i="4"/>
  <c r="H26" i="4"/>
  <c r="H33" i="4"/>
  <c r="H37" i="4"/>
  <c r="H69" i="4"/>
  <c r="G69" i="4" s="1"/>
  <c r="I69" i="4" s="1"/>
  <c r="G94" i="4"/>
  <c r="G116" i="4"/>
  <c r="H61" i="4"/>
  <c r="G61" i="4" s="1"/>
  <c r="I61" i="4" s="1"/>
  <c r="G105" i="4"/>
  <c r="G113" i="4"/>
  <c r="G118" i="4"/>
  <c r="H22" i="4"/>
  <c r="H34" i="4"/>
  <c r="H57" i="4"/>
  <c r="G57" i="4" s="1"/>
  <c r="I57" i="4" s="1"/>
  <c r="H81" i="4"/>
  <c r="G81" i="4" s="1"/>
  <c r="I81" i="4" s="1"/>
  <c r="H24" i="4"/>
  <c r="H28" i="4"/>
  <c r="G117" i="4"/>
  <c r="E7" i="2" l="1"/>
  <c r="F7" i="2" s="1"/>
  <c r="E4" i="2"/>
  <c r="E6" i="2"/>
  <c r="F6" i="2" s="1"/>
  <c r="E5" i="2"/>
  <c r="F5" i="2" s="1"/>
  <c r="F4" i="2"/>
  <c r="G120" i="4"/>
  <c r="H120" i="4"/>
</calcChain>
</file>

<file path=xl/sharedStrings.xml><?xml version="1.0" encoding="utf-8"?>
<sst xmlns="http://schemas.openxmlformats.org/spreadsheetml/2006/main" count="351" uniqueCount="184">
  <si>
    <t>Žemės ūkio technikos našumo skaičiavimas</t>
  </si>
  <si>
    <t>Žemės ūkio technika</t>
  </si>
  <si>
    <t>Parametrai</t>
  </si>
  <si>
    <t>Užgriebio plotis, m</t>
  </si>
  <si>
    <t>Važiavimo greitis, km/h</t>
  </si>
  <si>
    <t>Laiko panaudojimo koeficientas, %</t>
  </si>
  <si>
    <t>Technikos našumas</t>
  </si>
  <si>
    <t>Ha/h</t>
  </si>
  <si>
    <t>H/ha</t>
  </si>
  <si>
    <t>Kombainas</t>
  </si>
  <si>
    <t>Purkštuvas</t>
  </si>
  <si>
    <t>Technikos našumas, Ha/h</t>
  </si>
  <si>
    <t>Pakartotinų važiavimų lauke skaičius</t>
  </si>
  <si>
    <t>Dirvožemio tipas</t>
  </si>
  <si>
    <t>Sėjamoji</t>
  </si>
  <si>
    <t>Darbinis plotis, m</t>
  </si>
  <si>
    <t>Parametras</t>
  </si>
  <si>
    <t>MIN</t>
  </si>
  <si>
    <t>MAX</t>
  </si>
  <si>
    <t>Vidutinės važiavimo greitis, km/h</t>
  </si>
  <si>
    <t>Skutikas</t>
  </si>
  <si>
    <t xml:space="preserve">Sėjamoji </t>
  </si>
  <si>
    <t>Sijų plotis, m</t>
  </si>
  <si>
    <t>Sėjamosios plotis, m</t>
  </si>
  <si>
    <t>Dienų skaičius technologiniam procesui atlikti</t>
  </si>
  <si>
    <t>Variklio galios poreikis pagal padargą</t>
  </si>
  <si>
    <t>Atliktų darbų kiekis, ha/diena</t>
  </si>
  <si>
    <t>Paskaičiuotas dienų skaičius darbų atlikimui</t>
  </si>
  <si>
    <t>Vidutinis darbo H kiekis per dieną</t>
  </si>
  <si>
    <t>Koeficientas, %</t>
  </si>
  <si>
    <t>Plūgas</t>
  </si>
  <si>
    <t>Puspriekabė/priekaba</t>
  </si>
  <si>
    <t>Kultivatorius</t>
  </si>
  <si>
    <t>Teleskopinis krautuvas</t>
  </si>
  <si>
    <t>Trąšų barstomoji</t>
  </si>
  <si>
    <t>Našumas</t>
  </si>
  <si>
    <t xml:space="preserve">1 AG patraukia </t>
  </si>
  <si>
    <t>lengva dirva</t>
  </si>
  <si>
    <t>priesmėlis</t>
  </si>
  <si>
    <t>priemolis</t>
  </si>
  <si>
    <t>molio dirva</t>
  </si>
  <si>
    <t>plūgo cm</t>
  </si>
  <si>
    <t xml:space="preserve"> 4 - 6</t>
  </si>
  <si>
    <t>Išskaičiuoti duomenys</t>
  </si>
  <si>
    <t>Arimo plotis, m</t>
  </si>
  <si>
    <t>NMA suvedami duomenys</t>
  </si>
  <si>
    <t>Barstytuvas</t>
  </si>
  <si>
    <t>Traktoriaus kėlimo jėga, kg</t>
  </si>
  <si>
    <t>Pilno barstytuvo svoris + 15% = Traktoriaus kėlimo jėga ant tritaškės pakabos, kg</t>
  </si>
  <si>
    <t xml:space="preserve"> 2 - 4</t>
  </si>
  <si>
    <t>Sukabintuvo vertikali apkrova (kg)</t>
  </si>
  <si>
    <t>Priekabos/puspriekabės</t>
  </si>
  <si>
    <t>Sukabintuvo apkrova, kg</t>
  </si>
  <si>
    <t>Žemės ūkio technikos pavadinimas</t>
  </si>
  <si>
    <t>Krautuvas renkamas pagal sunkiausią ir aukščiausiai keliamą krovinį.</t>
  </si>
  <si>
    <t>Krautuvo kėlimo galia ir kėlimo aukštis</t>
  </si>
  <si>
    <t>Puspriekabė/priekaba, t</t>
  </si>
  <si>
    <t>Freza</t>
  </si>
  <si>
    <t>Presas</t>
  </si>
  <si>
    <t>Grėblys</t>
  </si>
  <si>
    <t>Vartytuvas</t>
  </si>
  <si>
    <t>Vyniotuvas</t>
  </si>
  <si>
    <t>Volai</t>
  </si>
  <si>
    <t>Sodinamoji</t>
  </si>
  <si>
    <t>Bulvių nuėmimo kombainas</t>
  </si>
  <si>
    <t>Kratytuvas</t>
  </si>
  <si>
    <t>Pašarų dalytuvas</t>
  </si>
  <si>
    <t>Srutovežis</t>
  </si>
  <si>
    <t>Gyvulių transportavimo priekabos</t>
  </si>
  <si>
    <t>Savaeigiai pašarų smulkintuvai</t>
  </si>
  <si>
    <t>Rinktuvinės priekabos</t>
  </si>
  <si>
    <t>Smulkintuvas</t>
  </si>
  <si>
    <t>Grūdų džiovyklos</t>
  </si>
  <si>
    <t>Grūdų valomosios</t>
  </si>
  <si>
    <t>Šakų smulkintuvas</t>
  </si>
  <si>
    <t>Smulkintuvas-žoliapjovė</t>
  </si>
  <si>
    <t>Uogų skynimo kombainas</t>
  </si>
  <si>
    <t>Freza, darbinis greitis</t>
  </si>
  <si>
    <t>Presavimas, km/h</t>
  </si>
  <si>
    <t>1 - fiks kamera</t>
  </si>
  <si>
    <t>1,1 su vyniotuvu</t>
  </si>
  <si>
    <t>1,2 - kvadratinio ryšulio</t>
  </si>
  <si>
    <t>Presavimas, AG</t>
  </si>
  <si>
    <t>Grėblys, km/h</t>
  </si>
  <si>
    <t>Volas</t>
  </si>
  <si>
    <r>
      <t>Dalytuvo tūris, m</t>
    </r>
    <r>
      <rPr>
        <vertAlign val="superscript"/>
        <sz val="11"/>
        <color theme="1"/>
        <rFont val="Calibri"/>
        <family val="2"/>
        <scheme val="minor"/>
      </rPr>
      <t>3</t>
    </r>
  </si>
  <si>
    <r>
      <t>Kratytuvo tūris, m</t>
    </r>
    <r>
      <rPr>
        <vertAlign val="superscript"/>
        <sz val="11"/>
        <color theme="1"/>
        <rFont val="Calibri"/>
        <family val="2"/>
        <scheme val="minor"/>
      </rPr>
      <t>3</t>
    </r>
  </si>
  <si>
    <t>Vagų skaičius, vnt</t>
  </si>
  <si>
    <t>Bulvių sodinamoji, kmh</t>
  </si>
  <si>
    <t>Bulvių kombainas</t>
  </si>
  <si>
    <t>Bulvių kombaino AG</t>
  </si>
  <si>
    <t>Ravėtuvas-kauptuvas</t>
  </si>
  <si>
    <t>Parametro pavadinimas</t>
  </si>
  <si>
    <t>Traktorius</t>
  </si>
  <si>
    <t>Dirbamos žemės plotas, ha</t>
  </si>
  <si>
    <t>Pjaunamosios plotis, m</t>
  </si>
  <si>
    <t>Skutikas (diskinis)</t>
  </si>
  <si>
    <t>Skutikas (noraginis)</t>
  </si>
  <si>
    <t>Keliamoji galia, kg</t>
  </si>
  <si>
    <t xml:space="preserve">Keliamoji galia, t </t>
  </si>
  <si>
    <t>Freza (daržininkystėje)</t>
  </si>
  <si>
    <t>Rinktuvo darbinis plotis, m</t>
  </si>
  <si>
    <t>Pasėlių plotas, ha</t>
  </si>
  <si>
    <t>Talpa, t</t>
  </si>
  <si>
    <r>
      <t>Priekabos plotas, m</t>
    </r>
    <r>
      <rPr>
        <vertAlign val="superscript"/>
        <sz val="11"/>
        <color theme="1"/>
        <rFont val="Calibri"/>
        <family val="2"/>
        <scheme val="minor"/>
      </rPr>
      <t>2</t>
    </r>
  </si>
  <si>
    <r>
      <t>Priekabos tūris, m</t>
    </r>
    <r>
      <rPr>
        <vertAlign val="superscript"/>
        <sz val="11"/>
        <color theme="1"/>
        <rFont val="Calibri"/>
        <family val="2"/>
        <scheme val="minor"/>
      </rPr>
      <t>3</t>
    </r>
  </si>
  <si>
    <t>Šakų smulkintuvas, m3/h</t>
  </si>
  <si>
    <t>Sausos medienos diametras, mm</t>
  </si>
  <si>
    <t>Eilių skaičius, vnt.</t>
  </si>
  <si>
    <t xml:space="preserve"> 3 - 5</t>
  </si>
  <si>
    <t xml:space="preserve"> 2 - 3</t>
  </si>
  <si>
    <t>iki 150 ha</t>
  </si>
  <si>
    <t>&gt;150 ha</t>
  </si>
  <si>
    <t xml:space="preserve"> 5 - 7</t>
  </si>
  <si>
    <t xml:space="preserve"> 14 - 21</t>
  </si>
  <si>
    <t>Kratytuvas (galvijų skaičius)</t>
  </si>
  <si>
    <t>Pašarų dalytuvas (galvijų skaičius)</t>
  </si>
  <si>
    <t xml:space="preserve"> 5 - 8 galvijo</t>
  </si>
  <si>
    <t>Srutovežis (galvijų skaičius)</t>
  </si>
  <si>
    <t>Gyvulių transportavimo priekabos (galvijų skaičius)</t>
  </si>
  <si>
    <t>&gt;500 Ha</t>
  </si>
  <si>
    <t xml:space="preserve"> 4 - 5</t>
  </si>
  <si>
    <t>100 erdmetrių</t>
  </si>
  <si>
    <t>Dirvožemio tipas/       Padargo tipas</t>
  </si>
  <si>
    <t>Galios poreikio diapazonas, kW</t>
  </si>
  <si>
    <t>Našumas, t/h</t>
  </si>
  <si>
    <t>Parametro reikšmė</t>
  </si>
  <si>
    <t xml:space="preserve"> 4-5</t>
  </si>
  <si>
    <t>Krautuvas (frontalinis)</t>
  </si>
  <si>
    <t>Purkštuvas (nesavaeigiai)</t>
  </si>
  <si>
    <t>Koeficientas</t>
  </si>
  <si>
    <t>Priemolis, sunki dirva, molis, kalvota</t>
  </si>
  <si>
    <t>Lengva dirva, vidutinio sunkumo, rotoriniai kombainai</t>
  </si>
  <si>
    <t xml:space="preserve"> 6-7</t>
  </si>
  <si>
    <t xml:space="preserve"> 1 - 3</t>
  </si>
  <si>
    <t>Srutovezis</t>
  </si>
  <si>
    <t>Savaeigio pašarų smulkintuvo įsigijimas yra racionalus, kai planuojamos smulkinti žolinių pašarų bei kukurūzų bendras plotas sudaro nemačiau kaip 500 Ha. Įvesti žolinių augalų plotą padaugintą iš derliaus nuėmimo skaičiaus per metus.</t>
  </si>
  <si>
    <t>Lygus sėjos našumui, Ha/d</t>
  </si>
  <si>
    <t>Pasėlių plotas, ha+Sąlyg.gyv.sk.</t>
  </si>
  <si>
    <t>Nuimamo derliaus kiekis, t/dieną</t>
  </si>
  <si>
    <t>Trąšadėžės tūris, m3</t>
  </si>
  <si>
    <t>Rekomenduojamas dienų skaičius darbų atlikimui</t>
  </si>
  <si>
    <t>Šienapjovė diskinė</t>
  </si>
  <si>
    <t>Pievų akėčios</t>
  </si>
  <si>
    <t>Akmenų rinktuvas (smulkiems akmenis)</t>
  </si>
  <si>
    <t xml:space="preserve">Dronas </t>
  </si>
  <si>
    <t>Puršk/trešimo plotis, m</t>
  </si>
  <si>
    <t>Grūdų traiškytuvas</t>
  </si>
  <si>
    <t>Grūdų traiškytuvas su granuliavimu</t>
  </si>
  <si>
    <t>Giluminis purentuvas</t>
  </si>
  <si>
    <t xml:space="preserve"> 2 - 5</t>
  </si>
  <si>
    <t>Dronas (įvesti ha plotą)</t>
  </si>
  <si>
    <t>Technikos pavadinimas</t>
  </si>
  <si>
    <t>1,2</t>
  </si>
  <si>
    <t>1,3</t>
  </si>
  <si>
    <t>1,4</t>
  </si>
  <si>
    <t>2,0</t>
  </si>
  <si>
    <t>1,6</t>
  </si>
  <si>
    <t>1,7</t>
  </si>
  <si>
    <t>Šienapjovė</t>
  </si>
  <si>
    <t>2,1</t>
  </si>
  <si>
    <t>Koeficiento taikymo aprašymas</t>
  </si>
  <si>
    <t>kratiklinis/klavišinis kombainas</t>
  </si>
  <si>
    <t>rotorinis/hibridinis kombainas</t>
  </si>
  <si>
    <t>Lengvas ir/arba vidutinio sunkumo dirvožemis</t>
  </si>
  <si>
    <t>Priemolis, sunkus dirvožemis, molis, kalvotas reljefas</t>
  </si>
  <si>
    <t>ruloninis fiksuotos arba kintamos kameros presas be vyniotuvo</t>
  </si>
  <si>
    <t>ruloninis fiksuotos arba kintamos kameros presas su vyniotuvu</t>
  </si>
  <si>
    <t>stačiakampio ryšulio presams</t>
  </si>
  <si>
    <t>volams be lyginimo</t>
  </si>
  <si>
    <t>volams su lyginimo lenta</t>
  </si>
  <si>
    <t>prikabinami bulvių nuėmimo kombainai</t>
  </si>
  <si>
    <t>savaeigiai bulvių nuėmimo kombainai</t>
  </si>
  <si>
    <t>šienapjovė (paprasta, be papildomos įrangos)</t>
  </si>
  <si>
    <t>šienapjovė su plaušintuvu</t>
  </si>
  <si>
    <t>šienapjovė su nupjautos žolės transporteriu</t>
  </si>
  <si>
    <t>pasėlių priežiūros akėčios (ekologinės)</t>
  </si>
  <si>
    <t>pievų akėčios su lyginimo lenta</t>
  </si>
  <si>
    <t>ražieninės akėčios</t>
  </si>
  <si>
    <t>giluminis purentuvas be papildomų priedų</t>
  </si>
  <si>
    <t>su smulkių sėklų įterpimu/smulkių sėklų sėjamąja</t>
  </si>
  <si>
    <t>purentuvas-kultivatorius su trupinimo ir tankinimo volais</t>
  </si>
  <si>
    <t>Akėčios</t>
  </si>
  <si>
    <t>Giluminis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</si>
</sst>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Calibri"/>
      <family val="2"/>
      <charset val="186"/>
      <scheme val="minor"/>
    </font>
    <font>
      <b/>
      <sz val="14"/>
      <color theme="1"/>
      <name val="Calibri"/>
      <family val="2"/>
      <scheme val="minor"/>
    </font>
    <font>
      <sz val="7"/>
      <color rgb="FF5A5A5A"/>
      <name val="Arial"/>
      <family val="2"/>
    </font>
    <font>
      <sz val="8"/>
      <color rgb="FF5E5E5E"/>
      <name val="Arial"/>
      <family val="2"/>
    </font>
    <font>
      <sz val="8"/>
      <color rgb="FF535D5B"/>
      <name val="Arial"/>
      <family val="2"/>
    </font>
    <font>
      <sz val="12"/>
      <color rgb="FF000000"/>
      <name val="Times New Roman"/>
      <family val="1"/>
    </font>
    <font>
      <vertAlign val="superscript"/>
      <sz val="11"/>
      <color theme="1"/>
      <name val="Calibri"/>
      <family val="2"/>
      <scheme val="minor"/>
    </font>
    <font>
      <sz val="7"/>
      <color rgb="FF777777"/>
      <name val="Arial"/>
      <family val="2"/>
    </font>
    <font>
      <sz val="11"/>
      <color theme="1"/>
      <name val="Calibri"/>
      <family val="2"/>
      <scheme val="minor"/>
    </font>
    <font>
      <sz val="8"/>
      <color rgb="FF000000"/>
      <name val="Times New Roman"/>
      <family val="1"/>
    </font>
    <font>
      <sz val="12"/>
      <color theme="1"/>
      <name val="Times New Roman"/>
      <family val="1"/>
    </font>
    <font>
      <sz val="11"/>
      <color rgb="FF333333"/>
      <name val="Calibri"/>
      <family val="2"/>
      <scheme val="minor"/>
    </font>
    <font>
      <b/>
      <i/>
      <u/>
      <sz val="12"/>
      <color theme="1"/>
      <name val="Times New Roman"/>
      <family val="1"/>
    </font>
    <font>
      <b/>
      <sz val="12"/>
      <color theme="1"/>
      <name val="Times New Roman"/>
      <family val="1"/>
      <charset val="238"/>
    </font>
    <font>
      <sz val="12"/>
      <color theme="1"/>
      <name val="Times New Roman"/>
      <family val="1"/>
      <charset val="238"/>
    </font>
    <font>
      <sz val="11"/>
      <color theme="1"/>
      <name val="Times New Roman"/>
      <family val="1"/>
      <charset val="238"/>
    </font>
    <font>
      <sz val="11"/>
      <color rgb="FF000000"/>
      <name val="Calibri"/>
      <family val="2"/>
      <charset val="238"/>
      <scheme val="minor"/>
    </font>
  </fonts>
  <fills count="7">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rgb="FFFFC000"/>
        <bgColor indexed="64"/>
      </patternFill>
    </fill>
    <fill>
      <patternFill patternType="solid">
        <fgColor rgb="FFFFFFFF"/>
        <bgColor indexed="64"/>
      </patternFill>
    </fill>
    <fill>
      <patternFill patternType="solid">
        <fgColor theme="0"/>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medium">
        <color indexed="64"/>
      </left>
      <right/>
      <top/>
      <bottom/>
      <diagonal/>
    </border>
    <border>
      <left style="medium">
        <color rgb="FFDDDDDD"/>
      </left>
      <right style="medium">
        <color rgb="FFDDDDDD"/>
      </right>
      <top style="medium">
        <color rgb="FFDDDDDD"/>
      </top>
      <bottom style="medium">
        <color rgb="FFDDDDDD"/>
      </bottom>
      <diagonal/>
    </border>
    <border>
      <left/>
      <right/>
      <top style="thin">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style="medium">
        <color indexed="64"/>
      </left>
      <right style="medium">
        <color indexed="64"/>
      </right>
      <top/>
      <bottom/>
      <diagonal/>
    </border>
    <border>
      <left/>
      <right/>
      <top/>
      <bottom style="thin">
        <color indexed="64"/>
      </bottom>
      <diagonal/>
    </border>
    <border>
      <left style="medium">
        <color indexed="64"/>
      </left>
      <right style="medium">
        <color indexed="64"/>
      </right>
      <top style="thin">
        <color indexed="64"/>
      </top>
      <bottom/>
      <diagonal/>
    </border>
    <border>
      <left/>
      <right/>
      <top style="thin">
        <color indexed="64"/>
      </top>
      <bottom/>
      <diagonal/>
    </border>
    <border>
      <left/>
      <right/>
      <top style="medium">
        <color indexed="64"/>
      </top>
      <bottom style="medium">
        <color indexed="64"/>
      </bottom>
      <diagonal/>
    </border>
  </borders>
  <cellStyleXfs count="1">
    <xf numFmtId="0" fontId="0" fillId="0" borderId="0"/>
  </cellStyleXfs>
  <cellXfs count="298">
    <xf numFmtId="0" fontId="0" fillId="0" borderId="0" xfId="0"/>
    <xf numFmtId="0" fontId="1" fillId="0" borderId="0" xfId="0" applyFont="1"/>
    <xf numFmtId="0" fontId="0" fillId="0" borderId="0" xfId="0" applyAlignment="1">
      <alignment horizontal="center" vertical="center" wrapText="1"/>
    </xf>
    <xf numFmtId="0" fontId="0" fillId="3" borderId="1" xfId="0" applyFill="1" applyBorder="1" applyAlignment="1">
      <alignment horizontal="center" vertical="center"/>
    </xf>
    <xf numFmtId="0" fontId="0" fillId="0" borderId="0" xfId="0" applyAlignment="1">
      <alignment horizontal="center" vertical="center"/>
    </xf>
    <xf numFmtId="0" fontId="0" fillId="0" borderId="21" xfId="0"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wrapText="1"/>
    </xf>
    <xf numFmtId="0" fontId="0" fillId="0" borderId="3" xfId="0" applyBorder="1" applyAlignment="1">
      <alignment horizontal="center" vertical="center" wrapText="1"/>
    </xf>
    <xf numFmtId="0" fontId="0" fillId="0" borderId="7" xfId="0" applyBorder="1" applyAlignment="1">
      <alignment horizontal="center" vertical="center" wrapText="1"/>
    </xf>
    <xf numFmtId="0" fontId="0" fillId="3" borderId="19" xfId="0" applyFill="1" applyBorder="1" applyAlignment="1">
      <alignment horizontal="center" vertical="center" wrapText="1"/>
    </xf>
    <xf numFmtId="0" fontId="0" fillId="2" borderId="19" xfId="0" applyFill="1" applyBorder="1" applyAlignment="1">
      <alignment horizontal="center" vertical="center"/>
    </xf>
    <xf numFmtId="0" fontId="0" fillId="2" borderId="24" xfId="0" applyFill="1" applyBorder="1" applyAlignment="1">
      <alignment horizontal="center" vertical="center"/>
    </xf>
    <xf numFmtId="0" fontId="0" fillId="0" borderId="1" xfId="0" applyBorder="1" applyAlignment="1">
      <alignment horizontal="center" vertical="center" wrapText="1"/>
    </xf>
    <xf numFmtId="0" fontId="0" fillId="3" borderId="1" xfId="0" applyFill="1" applyBorder="1" applyAlignment="1">
      <alignment horizontal="center" vertical="top"/>
    </xf>
    <xf numFmtId="0" fontId="0" fillId="3" borderId="5" xfId="0" applyFill="1" applyBorder="1" applyAlignment="1">
      <alignment horizontal="center" vertical="top"/>
    </xf>
    <xf numFmtId="0" fontId="0" fillId="3" borderId="5" xfId="0" applyFill="1" applyBorder="1" applyAlignment="1">
      <alignment horizontal="center"/>
    </xf>
    <xf numFmtId="0" fontId="0" fillId="3" borderId="6" xfId="0" applyFill="1" applyBorder="1" applyAlignment="1">
      <alignment horizontal="center" vertical="top"/>
    </xf>
    <xf numFmtId="0" fontId="0" fillId="3" borderId="7" xfId="0" applyFill="1" applyBorder="1" applyAlignment="1">
      <alignment horizontal="center" vertical="top"/>
    </xf>
    <xf numFmtId="0" fontId="0" fillId="0" borderId="0" xfId="0" applyAlignment="1">
      <alignment vertical="top"/>
    </xf>
    <xf numFmtId="164" fontId="0" fillId="0" borderId="0" xfId="0" applyNumberFormat="1" applyAlignment="1">
      <alignment horizontal="center" vertical="center"/>
    </xf>
    <xf numFmtId="0" fontId="0" fillId="0" borderId="0" xfId="0" applyAlignment="1">
      <alignment horizontal="center"/>
    </xf>
    <xf numFmtId="0" fontId="0" fillId="0" borderId="0" xfId="0" applyAlignment="1">
      <alignment horizontal="center" vertical="top"/>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6" xfId="0" applyBorder="1"/>
    <xf numFmtId="0" fontId="0" fillId="0" borderId="29" xfId="0" applyBorder="1"/>
    <xf numFmtId="0" fontId="0" fillId="0" borderId="30" xfId="0" applyBorder="1"/>
    <xf numFmtId="0" fontId="0" fillId="0" borderId="23" xfId="0" applyBorder="1" applyAlignment="1">
      <alignment horizontal="center" vertical="center" wrapText="1"/>
    </xf>
    <xf numFmtId="0" fontId="0" fillId="0" borderId="25" xfId="0" applyBorder="1" applyAlignment="1">
      <alignment vertical="center" wrapText="1"/>
    </xf>
    <xf numFmtId="0" fontId="0" fillId="0" borderId="17" xfId="0" applyBorder="1" applyAlignment="1">
      <alignment vertical="center" wrapText="1"/>
    </xf>
    <xf numFmtId="0" fontId="2" fillId="0" borderId="0" xfId="0" applyFont="1"/>
    <xf numFmtId="0" fontId="0" fillId="0" borderId="0" xfId="0" applyAlignment="1">
      <alignment wrapText="1"/>
    </xf>
    <xf numFmtId="0" fontId="0" fillId="3" borderId="25" xfId="0" applyFill="1" applyBorder="1" applyAlignment="1">
      <alignment vertical="top"/>
    </xf>
    <xf numFmtId="0" fontId="0" fillId="2" borderId="25" xfId="0" applyFill="1" applyBorder="1" applyAlignment="1">
      <alignment vertical="top"/>
    </xf>
    <xf numFmtId="0" fontId="0" fillId="0" borderId="0" xfId="0" applyAlignment="1">
      <alignment horizontal="center" vertical="top" wrapText="1"/>
    </xf>
    <xf numFmtId="0" fontId="0" fillId="3" borderId="0" xfId="0" applyFill="1" applyAlignment="1">
      <alignment vertical="top"/>
    </xf>
    <xf numFmtId="0" fontId="0" fillId="2" borderId="0" xfId="0" applyFill="1" applyAlignment="1">
      <alignment vertical="top"/>
    </xf>
    <xf numFmtId="0" fontId="3" fillId="0" borderId="0" xfId="0" applyFont="1"/>
    <xf numFmtId="0" fontId="0" fillId="0" borderId="0" xfId="0" applyAlignment="1">
      <alignment vertical="center"/>
    </xf>
    <xf numFmtId="0" fontId="4" fillId="0" borderId="0" xfId="0" applyFont="1"/>
    <xf numFmtId="0" fontId="0" fillId="3" borderId="3" xfId="0" applyFill="1" applyBorder="1" applyAlignment="1" applyProtection="1">
      <alignment horizontal="center" vertical="center" wrapText="1"/>
      <protection locked="0"/>
    </xf>
    <xf numFmtId="0" fontId="0" fillId="3" borderId="1" xfId="0" applyFill="1" applyBorder="1" applyAlignment="1" applyProtection="1">
      <alignment horizontal="center" vertical="top"/>
      <protection locked="0"/>
    </xf>
    <xf numFmtId="0" fontId="0" fillId="3" borderId="1" xfId="0" applyFill="1" applyBorder="1" applyAlignment="1" applyProtection="1">
      <alignment horizontal="center" vertical="center"/>
      <protection locked="0"/>
    </xf>
    <xf numFmtId="0" fontId="0" fillId="3" borderId="19" xfId="0" applyFill="1" applyBorder="1" applyAlignment="1" applyProtection="1">
      <alignment horizontal="center" vertical="center"/>
      <protection locked="0"/>
    </xf>
    <xf numFmtId="0" fontId="0" fillId="3" borderId="40" xfId="0" applyFill="1" applyBorder="1" applyAlignment="1" applyProtection="1">
      <alignment horizontal="center" vertical="center"/>
      <protection locked="0"/>
    </xf>
    <xf numFmtId="0" fontId="0" fillId="3" borderId="3" xfId="0" applyFill="1" applyBorder="1" applyAlignment="1" applyProtection="1">
      <alignment horizontal="center"/>
      <protection locked="0"/>
    </xf>
    <xf numFmtId="0" fontId="0" fillId="3" borderId="1" xfId="0" applyFill="1" applyBorder="1" applyAlignment="1" applyProtection="1">
      <alignment horizontal="center"/>
      <protection locked="0"/>
    </xf>
    <xf numFmtId="0" fontId="0" fillId="3" borderId="32" xfId="0" applyFill="1" applyBorder="1" applyAlignment="1" applyProtection="1">
      <alignment horizontal="center" vertical="center"/>
      <protection locked="0"/>
    </xf>
    <xf numFmtId="0" fontId="0" fillId="0" borderId="0" xfId="0" applyAlignment="1">
      <alignment vertical="center" wrapText="1"/>
    </xf>
    <xf numFmtId="0" fontId="0" fillId="2" borderId="3" xfId="0" applyFill="1" applyBorder="1" applyAlignment="1" applyProtection="1">
      <alignment horizontal="center" vertical="center"/>
      <protection hidden="1"/>
    </xf>
    <xf numFmtId="164" fontId="0" fillId="2" borderId="4" xfId="0" applyNumberFormat="1" applyFill="1" applyBorder="1" applyAlignment="1" applyProtection="1">
      <alignment horizontal="center" vertical="center"/>
      <protection hidden="1"/>
    </xf>
    <xf numFmtId="0" fontId="0" fillId="2" borderId="1" xfId="0" applyFill="1" applyBorder="1" applyAlignment="1" applyProtection="1">
      <alignment horizontal="center" vertical="center"/>
      <protection hidden="1"/>
    </xf>
    <xf numFmtId="164" fontId="0" fillId="2" borderId="20" xfId="0" applyNumberFormat="1" applyFill="1" applyBorder="1" applyAlignment="1" applyProtection="1">
      <alignment horizontal="center" vertical="center"/>
      <protection hidden="1"/>
    </xf>
    <xf numFmtId="0" fontId="0" fillId="2" borderId="7" xfId="0" applyFill="1" applyBorder="1" applyAlignment="1" applyProtection="1">
      <alignment horizontal="center" vertical="center"/>
      <protection hidden="1"/>
    </xf>
    <xf numFmtId="164" fontId="0" fillId="2" borderId="8" xfId="0" applyNumberFormat="1" applyFill="1" applyBorder="1" applyAlignment="1" applyProtection="1">
      <alignment horizontal="center" vertical="center"/>
      <protection hidden="1"/>
    </xf>
    <xf numFmtId="0" fontId="0" fillId="3" borderId="22" xfId="0" applyFill="1" applyBorder="1" applyAlignment="1" applyProtection="1">
      <alignment horizontal="center"/>
      <protection locked="0"/>
    </xf>
    <xf numFmtId="0" fontId="5" fillId="0" borderId="0" xfId="0" applyFont="1" applyAlignment="1">
      <alignment horizontal="justify" vertical="center" wrapText="1"/>
    </xf>
    <xf numFmtId="0" fontId="0" fillId="3" borderId="37" xfId="0"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0" fontId="0" fillId="3" borderId="7" xfId="0" applyFill="1" applyBorder="1" applyAlignment="1" applyProtection="1">
      <alignment horizontal="center" vertical="center"/>
      <protection locked="0"/>
    </xf>
    <xf numFmtId="0" fontId="0" fillId="3" borderId="37" xfId="0" applyFill="1" applyBorder="1" applyAlignment="1" applyProtection="1">
      <alignment horizontal="center"/>
      <protection locked="0"/>
    </xf>
    <xf numFmtId="0" fontId="7" fillId="5" borderId="53" xfId="0" applyFont="1" applyFill="1" applyBorder="1" applyAlignment="1">
      <alignment vertical="center" wrapText="1"/>
    </xf>
    <xf numFmtId="0" fontId="7" fillId="5" borderId="53" xfId="0" applyFont="1" applyFill="1" applyBorder="1" applyAlignment="1">
      <alignment horizontal="center" vertical="center" wrapText="1"/>
    </xf>
    <xf numFmtId="0" fontId="0" fillId="3" borderId="20" xfId="0" applyFill="1" applyBorder="1" applyAlignment="1" applyProtection="1">
      <alignment horizontal="center" vertical="center"/>
      <protection locked="0"/>
    </xf>
    <xf numFmtId="0" fontId="0" fillId="3" borderId="37" xfId="0" applyFill="1" applyBorder="1" applyAlignment="1" applyProtection="1">
      <alignment horizontal="center" vertical="center" wrapText="1"/>
      <protection locked="0"/>
    </xf>
    <xf numFmtId="0" fontId="0" fillId="3" borderId="50" xfId="0" applyFill="1" applyBorder="1" applyAlignment="1">
      <alignment horizontal="center" vertical="center" wrapText="1"/>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35" xfId="0" applyBorder="1" applyAlignment="1">
      <alignment horizontal="center" vertical="center" wrapText="1"/>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0" borderId="36" xfId="0" applyBorder="1" applyAlignment="1">
      <alignment horizontal="left" vertical="center"/>
    </xf>
    <xf numFmtId="0" fontId="0" fillId="0" borderId="37" xfId="0" applyBorder="1" applyAlignment="1">
      <alignment horizontal="left" vertical="center"/>
    </xf>
    <xf numFmtId="0" fontId="0" fillId="0" borderId="37" xfId="0" applyBorder="1" applyAlignment="1">
      <alignment horizontal="center" vertical="center"/>
    </xf>
    <xf numFmtId="164" fontId="0" fillId="2" borderId="37" xfId="0" applyNumberFormat="1" applyFill="1" applyBorder="1" applyAlignment="1">
      <alignment horizontal="center" vertical="center"/>
    </xf>
    <xf numFmtId="2" fontId="0" fillId="2" borderId="39" xfId="0" applyNumberFormat="1" applyFill="1" applyBorder="1" applyAlignment="1">
      <alignment horizontal="center" vertical="center"/>
    </xf>
    <xf numFmtId="0" fontId="0" fillId="0" borderId="5" xfId="0" applyBorder="1" applyAlignment="1">
      <alignment horizontal="left" vertical="top"/>
    </xf>
    <xf numFmtId="0" fontId="0" fillId="0" borderId="1" xfId="0" applyBorder="1" applyAlignment="1">
      <alignment horizontal="left" vertical="center"/>
    </xf>
    <xf numFmtId="164" fontId="0" fillId="2" borderId="1" xfId="0" applyNumberFormat="1" applyFill="1" applyBorder="1" applyAlignment="1">
      <alignment horizontal="center" vertical="center"/>
    </xf>
    <xf numFmtId="2" fontId="0" fillId="2" borderId="20" xfId="0" applyNumberFormat="1" applyFill="1" applyBorder="1" applyAlignment="1">
      <alignment horizontal="center" vertical="center"/>
    </xf>
    <xf numFmtId="0" fontId="0" fillId="0" borderId="5" xfId="0" applyBorder="1" applyAlignment="1">
      <alignment horizontal="left"/>
    </xf>
    <xf numFmtId="0" fontId="0" fillId="0" borderId="5" xfId="0" applyBorder="1" applyAlignment="1">
      <alignment horizontal="left" vertical="center"/>
    </xf>
    <xf numFmtId="0" fontId="0" fillId="0" borderId="1" xfId="0" applyBorder="1" applyAlignment="1">
      <alignment horizontal="left" vertical="center" wrapText="1"/>
    </xf>
    <xf numFmtId="0" fontId="0" fillId="0" borderId="6" xfId="0" applyBorder="1" applyAlignment="1">
      <alignment horizontal="left"/>
    </xf>
    <xf numFmtId="0" fontId="0" fillId="0" borderId="7" xfId="0" applyBorder="1" applyAlignment="1">
      <alignment horizontal="left" vertical="center"/>
    </xf>
    <xf numFmtId="0" fontId="0" fillId="0" borderId="7" xfId="0" applyBorder="1" applyAlignment="1">
      <alignment horizontal="center" vertical="center"/>
    </xf>
    <xf numFmtId="164" fontId="0" fillId="2" borderId="7" xfId="0" applyNumberFormat="1" applyFill="1" applyBorder="1" applyAlignment="1">
      <alignment horizontal="center" vertical="center"/>
    </xf>
    <xf numFmtId="2" fontId="0" fillId="2" borderId="8" xfId="0" applyNumberFormat="1" applyFill="1" applyBorder="1" applyAlignment="1">
      <alignment horizontal="center" vertical="center"/>
    </xf>
    <xf numFmtId="0" fontId="0" fillId="0" borderId="51" xfId="0" applyBorder="1" applyAlignment="1">
      <alignment horizontal="left"/>
    </xf>
    <xf numFmtId="0" fontId="0" fillId="0" borderId="18" xfId="0" applyBorder="1" applyAlignment="1">
      <alignment horizontal="left"/>
    </xf>
    <xf numFmtId="0" fontId="0" fillId="0" borderId="45" xfId="0" applyBorder="1" applyAlignment="1">
      <alignment horizontal="left" vertical="center"/>
    </xf>
    <xf numFmtId="0" fontId="0" fillId="0" borderId="19" xfId="0" applyBorder="1" applyAlignment="1">
      <alignment horizontal="center" vertical="center"/>
    </xf>
    <xf numFmtId="0" fontId="0" fillId="0" borderId="1" xfId="0" applyBorder="1" applyAlignment="1">
      <alignment horizontal="center" vertical="center"/>
    </xf>
    <xf numFmtId="164" fontId="0" fillId="2" borderId="19" xfId="0" applyNumberFormat="1" applyFill="1" applyBorder="1" applyAlignment="1">
      <alignment horizontal="center" vertical="center"/>
    </xf>
    <xf numFmtId="2" fontId="0" fillId="2" borderId="24" xfId="0" applyNumberFormat="1" applyFill="1" applyBorder="1" applyAlignment="1">
      <alignment horizontal="center" vertical="center"/>
    </xf>
    <xf numFmtId="0" fontId="0" fillId="0" borderId="2" xfId="0" applyBorder="1" applyAlignment="1">
      <alignment horizontal="left"/>
    </xf>
    <xf numFmtId="0" fontId="0" fillId="0" borderId="3" xfId="0" applyBorder="1" applyAlignment="1">
      <alignment horizontal="left" vertical="center"/>
    </xf>
    <xf numFmtId="0" fontId="0" fillId="0" borderId="3" xfId="0" applyBorder="1" applyAlignment="1">
      <alignment horizontal="center" vertical="center"/>
    </xf>
    <xf numFmtId="164" fontId="0" fillId="2" borderId="3" xfId="0" applyNumberFormat="1" applyFill="1" applyBorder="1" applyAlignment="1">
      <alignment horizontal="center" vertical="center"/>
    </xf>
    <xf numFmtId="2" fontId="0" fillId="2" borderId="4" xfId="0" applyNumberFormat="1" applyFill="1" applyBorder="1" applyAlignment="1">
      <alignment horizontal="center" vertical="center"/>
    </xf>
    <xf numFmtId="1" fontId="0" fillId="2" borderId="1" xfId="0" applyNumberFormat="1" applyFill="1" applyBorder="1" applyAlignment="1">
      <alignment horizontal="center" vertical="center"/>
    </xf>
    <xf numFmtId="2" fontId="0" fillId="2" borderId="1" xfId="0" applyNumberFormat="1" applyFill="1" applyBorder="1" applyAlignment="1">
      <alignment horizontal="center" vertical="center"/>
    </xf>
    <xf numFmtId="0" fontId="0" fillId="0" borderId="2" xfId="0" applyBorder="1" applyAlignment="1">
      <alignment vertical="center"/>
    </xf>
    <xf numFmtId="0" fontId="0" fillId="0" borderId="3" xfId="0" applyBorder="1" applyAlignment="1">
      <alignment horizontal="center"/>
    </xf>
    <xf numFmtId="1" fontId="0" fillId="0" borderId="3" xfId="0" applyNumberFormat="1" applyBorder="1" applyAlignment="1">
      <alignment horizontal="center"/>
    </xf>
    <xf numFmtId="164" fontId="0" fillId="0" borderId="3" xfId="0" applyNumberFormat="1" applyBorder="1" applyAlignment="1">
      <alignment horizontal="center"/>
    </xf>
    <xf numFmtId="0" fontId="0" fillId="2" borderId="20" xfId="0" applyFill="1" applyBorder="1" applyAlignment="1">
      <alignment horizontal="center"/>
    </xf>
    <xf numFmtId="0" fontId="0" fillId="0" borderId="5" xfId="0" applyBorder="1"/>
    <xf numFmtId="0" fontId="0" fillId="0" borderId="1" xfId="0" applyBorder="1" applyAlignment="1">
      <alignment horizontal="center"/>
    </xf>
    <xf numFmtId="1" fontId="0" fillId="0" borderId="37" xfId="0" applyNumberFormat="1" applyBorder="1" applyAlignment="1">
      <alignment horizontal="center"/>
    </xf>
    <xf numFmtId="164" fontId="0" fillId="0" borderId="37" xfId="0" applyNumberFormat="1" applyBorder="1" applyAlignment="1">
      <alignment horizontal="center"/>
    </xf>
    <xf numFmtId="164" fontId="0" fillId="2" borderId="44" xfId="0" applyNumberFormat="1" applyFill="1" applyBorder="1" applyAlignment="1">
      <alignment horizontal="center" vertical="center"/>
    </xf>
    <xf numFmtId="0" fontId="0" fillId="0" borderId="52" xfId="0" applyBorder="1"/>
    <xf numFmtId="1" fontId="0" fillId="0" borderId="1" xfId="0" applyNumberFormat="1" applyBorder="1" applyAlignment="1">
      <alignment horizontal="center" vertical="center"/>
    </xf>
    <xf numFmtId="1" fontId="0" fillId="0" borderId="37" xfId="0" applyNumberFormat="1" applyBorder="1" applyAlignment="1">
      <alignment horizontal="center" vertical="center"/>
    </xf>
    <xf numFmtId="164" fontId="0" fillId="0" borderId="37" xfId="0" applyNumberFormat="1" applyBorder="1" applyAlignment="1">
      <alignment horizontal="center" vertical="center"/>
    </xf>
    <xf numFmtId="16" fontId="0" fillId="2" borderId="20" xfId="0" applyNumberFormat="1" applyFill="1" applyBorder="1" applyAlignment="1">
      <alignment horizontal="center"/>
    </xf>
    <xf numFmtId="0" fontId="0" fillId="0" borderId="52" xfId="0" applyBorder="1" applyAlignment="1">
      <alignment horizontal="left" vertical="center"/>
    </xf>
    <xf numFmtId="0" fontId="0" fillId="0" borderId="36" xfId="0" applyBorder="1"/>
    <xf numFmtId="0" fontId="8" fillId="2" borderId="39" xfId="0" applyFont="1" applyFill="1" applyBorder="1" applyAlignment="1">
      <alignment horizontal="center"/>
    </xf>
    <xf numFmtId="0" fontId="0" fillId="0" borderId="6" xfId="0" applyBorder="1"/>
    <xf numFmtId="0" fontId="0" fillId="0" borderId="7" xfId="0" applyBorder="1" applyAlignment="1">
      <alignment horizontal="center"/>
    </xf>
    <xf numFmtId="1" fontId="0" fillId="0" borderId="22" xfId="0" applyNumberFormat="1" applyBorder="1" applyAlignment="1">
      <alignment horizontal="center"/>
    </xf>
    <xf numFmtId="164" fontId="0" fillId="0" borderId="22" xfId="0" applyNumberFormat="1" applyBorder="1" applyAlignment="1">
      <alignment horizontal="center"/>
    </xf>
    <xf numFmtId="164" fontId="0" fillId="2" borderId="33" xfId="0" applyNumberFormat="1" applyFill="1" applyBorder="1" applyAlignment="1">
      <alignment horizontal="center" vertical="center"/>
    </xf>
    <xf numFmtId="0" fontId="0" fillId="2" borderId="14" xfId="0" applyFill="1" applyBorder="1" applyAlignment="1">
      <alignment horizontal="center"/>
    </xf>
    <xf numFmtId="0" fontId="0" fillId="0" borderId="2" xfId="0" applyBorder="1"/>
    <xf numFmtId="164" fontId="0" fillId="2" borderId="13" xfId="0" applyNumberFormat="1" applyFill="1" applyBorder="1" applyAlignment="1">
      <alignment horizontal="center" vertical="center"/>
    </xf>
    <xf numFmtId="0" fontId="0" fillId="2" borderId="4" xfId="0" applyFill="1" applyBorder="1" applyAlignment="1">
      <alignment horizontal="center"/>
    </xf>
    <xf numFmtId="0" fontId="0" fillId="0" borderId="15" xfId="0" applyBorder="1"/>
    <xf numFmtId="0" fontId="0" fillId="0" borderId="22" xfId="0" applyBorder="1" applyAlignment="1">
      <alignment horizontal="center"/>
    </xf>
    <xf numFmtId="0" fontId="0" fillId="0" borderId="22" xfId="0" applyBorder="1" applyAlignment="1">
      <alignment horizontal="center" vertical="center"/>
    </xf>
    <xf numFmtId="0" fontId="0" fillId="2" borderId="8" xfId="0" applyFill="1" applyBorder="1" applyAlignment="1">
      <alignment horizontal="center"/>
    </xf>
    <xf numFmtId="0" fontId="0" fillId="0" borderId="37" xfId="0" applyBorder="1" applyAlignment="1">
      <alignment horizontal="center"/>
    </xf>
    <xf numFmtId="0" fontId="9" fillId="0" borderId="0" xfId="0" applyFont="1"/>
    <xf numFmtId="0" fontId="0" fillId="0" borderId="36" xfId="0" applyBorder="1" applyAlignment="1">
      <alignment wrapText="1"/>
    </xf>
    <xf numFmtId="1" fontId="0" fillId="2" borderId="39" xfId="0" applyNumberFormat="1" applyFill="1" applyBorder="1" applyAlignment="1">
      <alignment horizontal="center" vertical="center"/>
    </xf>
    <xf numFmtId="0" fontId="0" fillId="2" borderId="39" xfId="0" applyFill="1" applyBorder="1" applyAlignment="1">
      <alignment horizontal="center"/>
    </xf>
    <xf numFmtId="0" fontId="0" fillId="2" borderId="41" xfId="0" applyFill="1" applyBorder="1" applyAlignment="1">
      <alignment horizontal="center" vertical="center" wrapText="1"/>
    </xf>
    <xf numFmtId="0" fontId="0" fillId="2" borderId="43" xfId="0" applyFill="1" applyBorder="1" applyAlignment="1">
      <alignment horizontal="center" vertical="center" wrapText="1"/>
    </xf>
    <xf numFmtId="0" fontId="0" fillId="0" borderId="12" xfId="0" applyBorder="1" applyAlignment="1">
      <alignment horizontal="center" vertical="center" wrapText="1"/>
    </xf>
    <xf numFmtId="1" fontId="0" fillId="2" borderId="2" xfId="0" applyNumberFormat="1" applyFill="1" applyBorder="1" applyAlignment="1">
      <alignment horizontal="center" vertical="center"/>
    </xf>
    <xf numFmtId="1" fontId="0" fillId="2" borderId="34" xfId="0" applyNumberFormat="1" applyFill="1" applyBorder="1" applyAlignment="1">
      <alignment horizontal="center" vertical="center"/>
    </xf>
    <xf numFmtId="0" fontId="0" fillId="0" borderId="36" xfId="0" applyBorder="1" applyAlignment="1">
      <alignment vertical="center"/>
    </xf>
    <xf numFmtId="1" fontId="0" fillId="2" borderId="36" xfId="0" applyNumberFormat="1" applyFill="1" applyBorder="1" applyAlignment="1">
      <alignment horizontal="center" vertical="center"/>
    </xf>
    <xf numFmtId="0" fontId="0" fillId="0" borderId="38" xfId="0" applyBorder="1" applyAlignment="1">
      <alignment horizontal="center" vertical="center"/>
    </xf>
    <xf numFmtId="1" fontId="0" fillId="2" borderId="5" xfId="0" applyNumberFormat="1" applyFill="1" applyBorder="1" applyAlignment="1">
      <alignment horizontal="center" vertical="center"/>
    </xf>
    <xf numFmtId="1" fontId="0" fillId="2" borderId="20" xfId="0" applyNumberFormat="1" applyFill="1" applyBorder="1" applyAlignment="1">
      <alignment horizontal="center" vertical="center"/>
    </xf>
    <xf numFmtId="1" fontId="0" fillId="0" borderId="0" xfId="0" applyNumberFormat="1" applyAlignment="1">
      <alignment horizontal="center" vertical="center"/>
    </xf>
    <xf numFmtId="0" fontId="0" fillId="0" borderId="6" xfId="0" applyBorder="1" applyAlignment="1">
      <alignment horizontal="left" vertical="center"/>
    </xf>
    <xf numFmtId="0" fontId="0" fillId="0" borderId="50" xfId="0" applyBorder="1" applyAlignment="1">
      <alignment horizontal="center" vertical="center"/>
    </xf>
    <xf numFmtId="0" fontId="0" fillId="0" borderId="2" xfId="0" applyBorder="1" applyAlignment="1">
      <alignment horizontal="left" vertical="center"/>
    </xf>
    <xf numFmtId="0" fontId="0" fillId="0" borderId="12" xfId="0" applyBorder="1" applyAlignment="1">
      <alignment horizontal="center" vertical="center"/>
    </xf>
    <xf numFmtId="1" fontId="0" fillId="2" borderId="4" xfId="0" applyNumberFormat="1" applyFill="1" applyBorder="1" applyAlignment="1">
      <alignment horizontal="center" vertical="center"/>
    </xf>
    <xf numFmtId="1" fontId="0" fillId="2" borderId="23" xfId="0" applyNumberFormat="1" applyFill="1" applyBorder="1" applyAlignment="1">
      <alignment horizontal="center" vertical="center"/>
    </xf>
    <xf numFmtId="0" fontId="10" fillId="0" borderId="0" xfId="0" applyFont="1"/>
    <xf numFmtId="0" fontId="0" fillId="0" borderId="32" xfId="0" applyBorder="1" applyAlignment="1">
      <alignment horizontal="center" vertical="center"/>
    </xf>
    <xf numFmtId="1" fontId="0" fillId="2" borderId="5" xfId="0" applyNumberFormat="1" applyFill="1" applyBorder="1" applyAlignment="1">
      <alignment horizontal="center" vertical="center" wrapText="1"/>
    </xf>
    <xf numFmtId="1" fontId="0" fillId="2" borderId="23" xfId="0" applyNumberFormat="1" applyFill="1" applyBorder="1" applyAlignment="1">
      <alignment horizontal="center" vertical="center" wrapText="1"/>
    </xf>
    <xf numFmtId="1" fontId="0" fillId="2" borderId="36" xfId="0" applyNumberFormat="1" applyFill="1" applyBorder="1" applyAlignment="1">
      <alignment horizontal="center" vertical="center" wrapText="1"/>
    </xf>
    <xf numFmtId="1" fontId="0" fillId="2" borderId="20" xfId="0" applyNumberFormat="1" applyFill="1" applyBorder="1" applyAlignment="1">
      <alignment horizontal="center" vertical="center" wrapText="1"/>
    </xf>
    <xf numFmtId="0" fontId="0" fillId="0" borderId="20" xfId="0" applyBorder="1" applyAlignment="1">
      <alignment horizontal="center" vertical="center"/>
    </xf>
    <xf numFmtId="0" fontId="0" fillId="0" borderId="31" xfId="0" applyBorder="1" applyAlignment="1">
      <alignment horizontal="center" vertical="center"/>
    </xf>
    <xf numFmtId="1" fontId="0" fillId="2" borderId="6" xfId="0" applyNumberFormat="1" applyFill="1" applyBorder="1" applyAlignment="1">
      <alignment horizontal="center" vertical="center" wrapText="1"/>
    </xf>
    <xf numFmtId="1" fontId="0" fillId="2" borderId="55" xfId="0" applyNumberFormat="1" applyFill="1" applyBorder="1" applyAlignment="1">
      <alignment horizontal="center" vertical="center" wrapText="1"/>
    </xf>
    <xf numFmtId="1" fontId="0" fillId="2" borderId="2" xfId="0" applyNumberFormat="1" applyFill="1" applyBorder="1" applyAlignment="1">
      <alignment horizontal="center" vertical="center" wrapText="1"/>
    </xf>
    <xf numFmtId="1" fontId="0" fillId="2" borderId="4" xfId="0" applyNumberFormat="1" applyFill="1" applyBorder="1" applyAlignment="1">
      <alignment horizontal="center" vertical="center" wrapText="1"/>
    </xf>
    <xf numFmtId="0" fontId="0" fillId="4" borderId="16"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36" xfId="0" applyFill="1" applyBorder="1" applyAlignment="1">
      <alignment horizontal="left" vertical="center" wrapText="1"/>
    </xf>
    <xf numFmtId="0" fontId="0" fillId="4" borderId="39" xfId="0" applyFill="1" applyBorder="1" applyAlignment="1">
      <alignment horizontal="center" vertical="center"/>
    </xf>
    <xf numFmtId="0" fontId="0" fillId="4" borderId="6" xfId="0" applyFill="1" applyBorder="1" applyAlignment="1">
      <alignment horizontal="left" vertical="center" wrapText="1"/>
    </xf>
    <xf numFmtId="0" fontId="0" fillId="4" borderId="8" xfId="0" applyFill="1" applyBorder="1" applyAlignment="1">
      <alignment horizontal="center" vertical="center"/>
    </xf>
    <xf numFmtId="0" fontId="8" fillId="0" borderId="0" xfId="0" applyFont="1"/>
    <xf numFmtId="0" fontId="12" fillId="0" borderId="0" xfId="0" applyFont="1"/>
    <xf numFmtId="164" fontId="0" fillId="2" borderId="47" xfId="0" applyNumberFormat="1" applyFill="1" applyBorder="1" applyAlignment="1">
      <alignment horizontal="center" vertical="center" wrapText="1"/>
    </xf>
    <xf numFmtId="164" fontId="0" fillId="2" borderId="20" xfId="0" applyNumberFormat="1" applyFill="1" applyBorder="1" applyAlignment="1">
      <alignment horizontal="center" vertical="center" wrapText="1"/>
    </xf>
    <xf numFmtId="0" fontId="0" fillId="0" borderId="41" xfId="0" applyBorder="1" applyAlignment="1">
      <alignment horizontal="center" vertical="center" wrapText="1"/>
    </xf>
    <xf numFmtId="0" fontId="0" fillId="3" borderId="42" xfId="0" applyFill="1" applyBorder="1" applyAlignment="1">
      <alignment horizontal="center" vertical="center" wrapText="1"/>
    </xf>
    <xf numFmtId="0" fontId="0" fillId="0" borderId="42" xfId="0" applyBorder="1" applyAlignment="1">
      <alignment horizontal="center" vertical="center" wrapText="1"/>
    </xf>
    <xf numFmtId="0" fontId="0" fillId="0" borderId="49" xfId="0" applyBorder="1" applyAlignment="1">
      <alignment horizontal="center" vertical="center" wrapText="1"/>
    </xf>
    <xf numFmtId="0" fontId="0" fillId="2" borderId="25" xfId="0" applyFill="1" applyBorder="1" applyAlignment="1">
      <alignment horizontal="center" vertical="center" wrapText="1"/>
    </xf>
    <xf numFmtId="0" fontId="0" fillId="6" borderId="37" xfId="0" applyFill="1" applyBorder="1" applyAlignment="1" applyProtection="1">
      <alignment horizontal="center"/>
      <protection locked="0"/>
    </xf>
    <xf numFmtId="1" fontId="0" fillId="0" borderId="0" xfId="0" applyNumberFormat="1" applyAlignment="1">
      <alignment horizontal="center"/>
    </xf>
    <xf numFmtId="0" fontId="0" fillId="0" borderId="0" xfId="0" applyAlignment="1">
      <alignment horizontal="left" vertical="center"/>
    </xf>
    <xf numFmtId="0" fontId="0" fillId="0" borderId="9" xfId="0" applyBorder="1" applyAlignment="1">
      <alignment horizontal="left"/>
    </xf>
    <xf numFmtId="0" fontId="0" fillId="0" borderId="10" xfId="0" applyBorder="1" applyAlignment="1">
      <alignment horizontal="left" vertical="center"/>
    </xf>
    <xf numFmtId="0" fontId="0" fillId="3" borderId="10" xfId="0" applyFill="1" applyBorder="1" applyAlignment="1" applyProtection="1">
      <alignment horizontal="center" vertical="center"/>
      <protection locked="0"/>
    </xf>
    <xf numFmtId="0" fontId="0" fillId="0" borderId="10" xfId="0" applyBorder="1" applyAlignment="1">
      <alignment horizontal="center" vertical="center"/>
    </xf>
    <xf numFmtId="0" fontId="0" fillId="0" borderId="19" xfId="0" applyBorder="1" applyAlignment="1">
      <alignment horizontal="left" vertical="center"/>
    </xf>
    <xf numFmtId="2" fontId="0" fillId="2" borderId="19" xfId="0" applyNumberFormat="1" applyFill="1" applyBorder="1" applyAlignment="1">
      <alignment horizontal="center" vertical="center"/>
    </xf>
    <xf numFmtId="164" fontId="0" fillId="0" borderId="1" xfId="0" applyNumberFormat="1" applyBorder="1" applyAlignment="1">
      <alignment horizontal="center"/>
    </xf>
    <xf numFmtId="164" fontId="0" fillId="0" borderId="7" xfId="0" applyNumberFormat="1" applyBorder="1" applyAlignment="1">
      <alignment horizontal="center"/>
    </xf>
    <xf numFmtId="0" fontId="0" fillId="3" borderId="4" xfId="0" applyFill="1" applyBorder="1" applyAlignment="1" applyProtection="1">
      <alignment horizontal="center" vertical="center"/>
      <protection locked="0"/>
    </xf>
    <xf numFmtId="1" fontId="0" fillId="2" borderId="34" xfId="0" applyNumberFormat="1" applyFill="1" applyBorder="1" applyAlignment="1">
      <alignment horizontal="center" vertical="center" wrapText="1"/>
    </xf>
    <xf numFmtId="0" fontId="0" fillId="3" borderId="8" xfId="0" applyFill="1" applyBorder="1" applyAlignment="1" applyProtection="1">
      <alignment horizontal="center" vertical="center"/>
      <protection locked="0"/>
    </xf>
    <xf numFmtId="1" fontId="0" fillId="2" borderId="15" xfId="0" applyNumberFormat="1" applyFill="1" applyBorder="1" applyAlignment="1">
      <alignment horizontal="center" vertical="center" wrapText="1"/>
    </xf>
    <xf numFmtId="0" fontId="13" fillId="6" borderId="56" xfId="0" applyFont="1" applyFill="1" applyBorder="1" applyAlignment="1">
      <alignment horizontal="justify" vertical="center" wrapText="1"/>
    </xf>
    <xf numFmtId="0" fontId="13" fillId="6" borderId="57" xfId="0" applyFont="1" applyFill="1" applyBorder="1" applyAlignment="1">
      <alignment horizontal="justify" vertical="center" wrapText="1"/>
    </xf>
    <xf numFmtId="0" fontId="14" fillId="6" borderId="35" xfId="0" applyFont="1" applyFill="1" applyBorder="1" applyAlignment="1">
      <alignment horizontal="center" vertical="center" wrapText="1"/>
    </xf>
    <xf numFmtId="0" fontId="14" fillId="6" borderId="59" xfId="0" applyFont="1" applyFill="1" applyBorder="1" applyAlignment="1">
      <alignment horizontal="center" vertical="center" wrapText="1"/>
    </xf>
    <xf numFmtId="0" fontId="14" fillId="6" borderId="21" xfId="0" applyFont="1" applyFill="1" applyBorder="1" applyAlignment="1">
      <alignment horizontal="center" vertical="center" wrapText="1"/>
    </xf>
    <xf numFmtId="0" fontId="14" fillId="6" borderId="54" xfId="0" applyFont="1" applyFill="1" applyBorder="1" applyAlignment="1">
      <alignment horizontal="center" vertical="center" wrapText="1"/>
    </xf>
    <xf numFmtId="0" fontId="14" fillId="6" borderId="61" xfId="0" applyFont="1" applyFill="1" applyBorder="1" applyAlignment="1">
      <alignment horizontal="center" vertical="center" wrapText="1"/>
    </xf>
    <xf numFmtId="0" fontId="14" fillId="6" borderId="61" xfId="0" applyFont="1" applyFill="1" applyBorder="1" applyAlignment="1">
      <alignment horizontal="center" vertical="center"/>
    </xf>
    <xf numFmtId="0" fontId="14" fillId="6" borderId="54" xfId="0" applyFont="1" applyFill="1" applyBorder="1" applyAlignment="1">
      <alignment horizontal="center" vertical="center"/>
    </xf>
    <xf numFmtId="0" fontId="14" fillId="6" borderId="63" xfId="0" applyFont="1" applyFill="1" applyBorder="1" applyAlignment="1">
      <alignment horizontal="center"/>
    </xf>
    <xf numFmtId="0" fontId="14" fillId="6" borderId="63" xfId="0" applyFont="1" applyFill="1" applyBorder="1" applyAlignment="1">
      <alignment horizontal="center" vertical="center" wrapText="1"/>
    </xf>
    <xf numFmtId="0" fontId="15" fillId="6" borderId="54" xfId="0" applyFont="1" applyFill="1" applyBorder="1" applyAlignment="1">
      <alignment horizontal="center"/>
    </xf>
    <xf numFmtId="0" fontId="15" fillId="6" borderId="59" xfId="0" applyFont="1" applyFill="1" applyBorder="1" applyAlignment="1">
      <alignment horizontal="center"/>
    </xf>
    <xf numFmtId="0" fontId="1" fillId="0" borderId="21" xfId="0" applyFont="1" applyBorder="1" applyAlignment="1">
      <alignment horizontal="center"/>
    </xf>
    <xf numFmtId="1" fontId="0" fillId="0" borderId="52" xfId="0" applyNumberFormat="1" applyBorder="1" applyAlignment="1">
      <alignment horizontal="center"/>
    </xf>
    <xf numFmtId="1" fontId="0" fillId="0" borderId="0" xfId="0" applyNumberFormat="1" applyAlignment="1">
      <alignment horizontal="center"/>
    </xf>
    <xf numFmtId="0" fontId="0" fillId="0" borderId="9" xfId="0" applyBorder="1" applyAlignment="1">
      <alignment horizontal="center" vertical="center" wrapText="1"/>
    </xf>
    <xf numFmtId="0" fontId="0" fillId="0" borderId="15" xfId="0" applyBorder="1" applyAlignment="1">
      <alignment horizontal="center" vertical="center" wrapText="1"/>
    </xf>
    <xf numFmtId="0" fontId="0" fillId="0" borderId="12" xfId="0" applyBorder="1" applyAlignment="1">
      <alignment horizontal="center" vertical="center" wrapText="1"/>
    </xf>
    <xf numFmtId="0" fontId="0" fillId="0" borderId="35" xfId="0" applyBorder="1" applyAlignment="1">
      <alignment horizontal="center" vertical="center" wrapText="1"/>
    </xf>
    <xf numFmtId="0" fontId="0" fillId="0" borderId="10" xfId="0" applyBorder="1" applyAlignment="1">
      <alignment horizontal="center" vertical="center" wrapText="1"/>
    </xf>
    <xf numFmtId="0" fontId="0" fillId="0" borderId="22" xfId="0" applyBorder="1" applyAlignment="1">
      <alignment horizontal="center" vertical="center" wrapText="1"/>
    </xf>
    <xf numFmtId="0" fontId="0" fillId="2" borderId="12" xfId="0" applyFill="1" applyBorder="1" applyAlignment="1">
      <alignment horizontal="center"/>
    </xf>
    <xf numFmtId="0" fontId="0" fillId="2" borderId="34" xfId="0" applyFill="1" applyBorder="1" applyAlignment="1">
      <alignment horizontal="center"/>
    </xf>
    <xf numFmtId="0" fontId="0" fillId="0" borderId="52" xfId="0" applyBorder="1" applyAlignment="1">
      <alignment horizontal="left"/>
    </xf>
    <xf numFmtId="0" fontId="0" fillId="0" borderId="0" xfId="0" applyAlignment="1">
      <alignment horizontal="left"/>
    </xf>
    <xf numFmtId="0" fontId="0" fillId="0" borderId="52" xfId="0" applyBorder="1" applyAlignment="1">
      <alignment horizontal="center"/>
    </xf>
    <xf numFmtId="0" fontId="0" fillId="0" borderId="0" xfId="0" applyAlignment="1">
      <alignment horizontal="center"/>
    </xf>
    <xf numFmtId="0" fontId="0" fillId="0" borderId="32" xfId="0" applyBorder="1" applyAlignment="1">
      <alignment horizontal="left" vertical="center" wrapText="1"/>
    </xf>
    <xf numFmtId="0" fontId="0" fillId="0" borderId="54" xfId="0" applyBorder="1" applyAlignment="1">
      <alignment horizontal="left" vertical="center" wrapText="1"/>
    </xf>
    <xf numFmtId="0" fontId="0" fillId="0" borderId="27" xfId="0" applyBorder="1" applyAlignment="1">
      <alignment horizontal="left" vertical="center" wrapText="1"/>
    </xf>
    <xf numFmtId="0" fontId="11" fillId="0" borderId="52" xfId="0" applyFont="1" applyBorder="1" applyAlignment="1">
      <alignment horizontal="left"/>
    </xf>
    <xf numFmtId="0" fontId="11" fillId="0" borderId="0" xfId="0" applyFont="1" applyAlignment="1">
      <alignment horizontal="left"/>
    </xf>
    <xf numFmtId="0" fontId="0" fillId="0" borderId="52" xfId="0" applyBorder="1" applyAlignment="1">
      <alignment horizontal="left" vertical="center" wrapText="1"/>
    </xf>
    <xf numFmtId="0" fontId="0" fillId="0" borderId="0" xfId="0" applyAlignment="1">
      <alignment horizontal="left" vertical="center" wrapText="1"/>
    </xf>
    <xf numFmtId="0" fontId="0" fillId="0" borderId="52" xfId="0" applyBorder="1" applyAlignment="1">
      <alignment horizontal="left" wrapText="1"/>
    </xf>
    <xf numFmtId="0" fontId="0" fillId="0" borderId="0" xfId="0" applyAlignment="1">
      <alignment horizontal="left" wrapText="1"/>
    </xf>
    <xf numFmtId="0" fontId="16" fillId="2" borderId="48" xfId="0" applyFont="1" applyFill="1" applyBorder="1" applyAlignment="1">
      <alignment horizontal="center"/>
    </xf>
    <xf numFmtId="0" fontId="16" fillId="2" borderId="28" xfId="0" applyFont="1" applyFill="1" applyBorder="1" applyAlignment="1">
      <alignment horizontal="center"/>
    </xf>
    <xf numFmtId="0" fontId="0" fillId="3" borderId="11" xfId="0" applyFill="1" applyBorder="1" applyAlignment="1">
      <alignment horizontal="center" vertical="center" wrapText="1"/>
    </xf>
    <xf numFmtId="0" fontId="0" fillId="3" borderId="14" xfId="0" applyFill="1" applyBorder="1" applyAlignment="1">
      <alignment horizontal="center" vertical="center" wrapText="1"/>
    </xf>
    <xf numFmtId="0" fontId="0" fillId="2" borderId="16" xfId="0" applyFill="1" applyBorder="1" applyAlignment="1">
      <alignment horizontal="center" vertical="center" wrapText="1"/>
    </xf>
    <xf numFmtId="0" fontId="0" fillId="2" borderId="17" xfId="0" applyFill="1" applyBorder="1" applyAlignment="1">
      <alignment horizontal="center" vertical="center" wrapText="1"/>
    </xf>
    <xf numFmtId="0" fontId="0" fillId="0" borderId="52" xfId="0" applyBorder="1" applyAlignment="1">
      <alignment horizontal="center" vertical="center"/>
    </xf>
    <xf numFmtId="0" fontId="0" fillId="0" borderId="0" xfId="0" applyAlignment="1">
      <alignment horizontal="center" vertical="center"/>
    </xf>
    <xf numFmtId="1" fontId="0" fillId="2" borderId="46" xfId="0" applyNumberFormat="1" applyFill="1" applyBorder="1" applyAlignment="1">
      <alignment horizontal="center" vertical="center" wrapText="1"/>
    </xf>
    <xf numFmtId="1" fontId="0" fillId="2" borderId="27" xfId="0" applyNumberFormat="1" applyFill="1" applyBorder="1" applyAlignment="1">
      <alignment horizontal="center" vertical="center" wrapText="1"/>
    </xf>
    <xf numFmtId="1" fontId="0" fillId="2" borderId="46" xfId="0" applyNumberFormat="1" applyFill="1" applyBorder="1" applyAlignment="1">
      <alignment horizontal="center" vertical="center"/>
    </xf>
    <xf numFmtId="1" fontId="0" fillId="2" borderId="27" xfId="0" applyNumberFormat="1" applyFill="1" applyBorder="1" applyAlignment="1">
      <alignment horizontal="center" vertical="center"/>
    </xf>
    <xf numFmtId="0" fontId="0" fillId="0" borderId="0" xfId="0" applyAlignment="1">
      <alignment horizontal="center" vertical="center" wrapText="1"/>
    </xf>
    <xf numFmtId="0" fontId="0" fillId="0" borderId="0" xfId="0" applyAlignment="1">
      <alignment horizontal="left" vertical="center"/>
    </xf>
    <xf numFmtId="0" fontId="0" fillId="0" borderId="52" xfId="0" applyBorder="1" applyAlignment="1">
      <alignment horizontal="left" vertical="center"/>
    </xf>
    <xf numFmtId="0" fontId="14" fillId="6" borderId="56" xfId="0" applyFont="1" applyFill="1" applyBorder="1" applyAlignment="1">
      <alignment horizontal="center" vertical="center" wrapText="1"/>
    </xf>
    <xf numFmtId="0" fontId="14" fillId="6" borderId="58" xfId="0" applyFont="1" applyFill="1" applyBorder="1" applyAlignment="1">
      <alignment horizontal="center" vertical="center" wrapText="1"/>
    </xf>
    <xf numFmtId="0" fontId="15" fillId="6" borderId="56" xfId="0" applyFont="1" applyFill="1" applyBorder="1" applyAlignment="1">
      <alignment horizontal="center" vertical="center"/>
    </xf>
    <xf numFmtId="0" fontId="15" fillId="6" borderId="58" xfId="0" applyFont="1" applyFill="1" applyBorder="1" applyAlignment="1">
      <alignment horizontal="center" vertical="center"/>
    </xf>
    <xf numFmtId="0" fontId="15" fillId="6" borderId="60" xfId="0" applyFont="1" applyFill="1" applyBorder="1" applyAlignment="1">
      <alignment horizontal="center" vertical="center"/>
    </xf>
    <xf numFmtId="0" fontId="14" fillId="6" borderId="60" xfId="0" applyFont="1" applyFill="1" applyBorder="1" applyAlignment="1">
      <alignment horizontal="center" vertical="center" wrapText="1"/>
    </xf>
    <xf numFmtId="0" fontId="14" fillId="6" borderId="30" xfId="0" applyFont="1" applyFill="1" applyBorder="1" applyAlignment="1">
      <alignment horizontal="center" vertical="center" wrapText="1"/>
    </xf>
    <xf numFmtId="0" fontId="14" fillId="6" borderId="26" xfId="0" applyFont="1" applyFill="1" applyBorder="1" applyAlignment="1">
      <alignment horizontal="center" vertical="center" wrapText="1"/>
    </xf>
    <xf numFmtId="0" fontId="14" fillId="6" borderId="62"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4" fillId="6" borderId="2" xfId="0" applyFont="1" applyFill="1" applyBorder="1" applyAlignment="1">
      <alignment horizontal="left" vertical="center" wrapText="1"/>
    </xf>
    <xf numFmtId="0" fontId="14" fillId="6" borderId="3" xfId="0" applyFont="1" applyFill="1" applyBorder="1" applyAlignment="1">
      <alignment horizontal="left" vertical="center" wrapText="1"/>
    </xf>
    <xf numFmtId="0" fontId="14" fillId="6" borderId="4" xfId="0" applyFont="1" applyFill="1" applyBorder="1" applyAlignment="1">
      <alignment horizontal="left" vertical="center" wrapText="1"/>
    </xf>
    <xf numFmtId="0" fontId="14" fillId="6" borderId="6" xfId="0" applyFont="1" applyFill="1" applyBorder="1" applyAlignment="1">
      <alignment horizontal="left" vertical="center" wrapText="1"/>
    </xf>
    <xf numFmtId="0" fontId="14" fillId="6" borderId="7" xfId="0" applyFont="1" applyFill="1" applyBorder="1" applyAlignment="1">
      <alignment horizontal="left" vertical="center" wrapText="1"/>
    </xf>
    <xf numFmtId="0" fontId="14" fillId="6" borderId="8" xfId="0" applyFont="1" applyFill="1" applyBorder="1" applyAlignment="1">
      <alignment horizontal="left" vertical="center" wrapText="1"/>
    </xf>
    <xf numFmtId="0" fontId="14" fillId="6" borderId="2" xfId="0" applyFont="1" applyFill="1" applyBorder="1" applyAlignment="1">
      <alignment horizontal="left" vertical="center"/>
    </xf>
    <xf numFmtId="0" fontId="14" fillId="6" borderId="3" xfId="0" applyFont="1" applyFill="1" applyBorder="1" applyAlignment="1">
      <alignment horizontal="left" vertical="center"/>
    </xf>
    <xf numFmtId="0" fontId="14" fillId="6" borderId="4" xfId="0" applyFont="1" applyFill="1" applyBorder="1" applyAlignment="1">
      <alignment horizontal="left" vertical="center"/>
    </xf>
    <xf numFmtId="0" fontId="14" fillId="6" borderId="5" xfId="0" applyFont="1" applyFill="1" applyBorder="1" applyAlignment="1">
      <alignment horizontal="left" vertical="center"/>
    </xf>
    <xf numFmtId="0" fontId="14" fillId="6" borderId="1" xfId="0" applyFont="1" applyFill="1" applyBorder="1" applyAlignment="1">
      <alignment horizontal="left" vertical="center"/>
    </xf>
    <xf numFmtId="0" fontId="14" fillId="6" borderId="20" xfId="0" applyFont="1" applyFill="1" applyBorder="1" applyAlignment="1">
      <alignment horizontal="left" vertical="center"/>
    </xf>
    <xf numFmtId="0" fontId="14" fillId="6" borderId="6" xfId="0" applyFont="1" applyFill="1" applyBorder="1" applyAlignment="1">
      <alignment horizontal="left" vertical="center"/>
    </xf>
    <xf numFmtId="0" fontId="14" fillId="6" borderId="7" xfId="0" applyFont="1" applyFill="1" applyBorder="1" applyAlignment="1">
      <alignment horizontal="left" vertical="center"/>
    </xf>
    <xf numFmtId="0" fontId="14" fillId="6" borderId="8" xfId="0" applyFont="1" applyFill="1" applyBorder="1" applyAlignment="1">
      <alignment horizontal="left" vertical="center"/>
    </xf>
    <xf numFmtId="0" fontId="14" fillId="6" borderId="5" xfId="0" applyFont="1" applyFill="1" applyBorder="1" applyAlignment="1">
      <alignment horizontal="left" vertical="center" wrapText="1"/>
    </xf>
    <xf numFmtId="0" fontId="14" fillId="6" borderId="1" xfId="0" applyFont="1" applyFill="1" applyBorder="1" applyAlignment="1">
      <alignment horizontal="left" vertical="center" wrapText="1"/>
    </xf>
    <xf numFmtId="0" fontId="14" fillId="6" borderId="20" xfId="0" applyFont="1" applyFill="1" applyBorder="1" applyAlignment="1">
      <alignment horizontal="left" vertical="center" wrapText="1"/>
    </xf>
    <xf numFmtId="0" fontId="14" fillId="6" borderId="36" xfId="0" applyFont="1" applyFill="1" applyBorder="1" applyAlignment="1">
      <alignment horizontal="left" vertical="center" wrapText="1"/>
    </xf>
    <xf numFmtId="0" fontId="14" fillId="6" borderId="37" xfId="0" applyFont="1" applyFill="1" applyBorder="1" applyAlignment="1">
      <alignment horizontal="left" vertical="center" wrapText="1"/>
    </xf>
    <xf numFmtId="0" fontId="14" fillId="6" borderId="39" xfId="0" applyFont="1" applyFill="1" applyBorder="1" applyAlignment="1">
      <alignment horizontal="left" vertical="center" wrapText="1"/>
    </xf>
    <xf numFmtId="0" fontId="14" fillId="6" borderId="5" xfId="0" applyFont="1" applyFill="1" applyBorder="1" applyAlignment="1">
      <alignment horizontal="left"/>
    </xf>
    <xf numFmtId="0" fontId="14" fillId="6" borderId="1" xfId="0" applyFont="1" applyFill="1" applyBorder="1" applyAlignment="1">
      <alignment horizontal="left"/>
    </xf>
    <xf numFmtId="0" fontId="14" fillId="6" borderId="20" xfId="0" applyFont="1" applyFill="1" applyBorder="1" applyAlignment="1">
      <alignment horizontal="left"/>
    </xf>
    <xf numFmtId="0" fontId="14" fillId="6" borderId="6" xfId="0" applyFont="1" applyFill="1" applyBorder="1" applyAlignment="1">
      <alignment horizontal="left"/>
    </xf>
    <xf numFmtId="0" fontId="14" fillId="6" borderId="7" xfId="0" applyFont="1" applyFill="1" applyBorder="1" applyAlignment="1">
      <alignment horizontal="left"/>
    </xf>
    <xf numFmtId="0" fontId="14" fillId="6" borderId="8" xfId="0" applyFont="1" applyFill="1" applyBorder="1" applyAlignment="1">
      <alignment horizontal="left"/>
    </xf>
    <xf numFmtId="0" fontId="0" fillId="3" borderId="2" xfId="0" applyFill="1" applyBorder="1" applyAlignment="1">
      <alignment horizontal="center" vertical="center"/>
    </xf>
    <xf numFmtId="0" fontId="0" fillId="3" borderId="18" xfId="0" applyFill="1" applyBorder="1" applyAlignment="1">
      <alignment horizontal="center" vertical="center"/>
    </xf>
    <xf numFmtId="0" fontId="0" fillId="0" borderId="3" xfId="0"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0" fillId="0" borderId="0" xfId="0" applyAlignment="1">
      <alignment horizontal="left" vertical="top"/>
    </xf>
    <xf numFmtId="164" fontId="0" fillId="2" borderId="10" xfId="0" applyNumberForma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68F86-FCB8-4E33-9990-225622ECE17D}">
  <dimension ref="B2:S168"/>
  <sheetViews>
    <sheetView tabSelected="1" topLeftCell="A71" zoomScale="70" zoomScaleNormal="70" workbookViewId="0">
      <selection activeCell="C79" sqref="C79"/>
    </sheetView>
  </sheetViews>
  <sheetFormatPr defaultColWidth="8.7265625" defaultRowHeight="14.5" x14ac:dyDescent="0.35"/>
  <cols>
    <col min="2" max="2" width="35.26953125" customWidth="1"/>
    <col min="3" max="3" width="28.54296875" bestFit="1" customWidth="1"/>
    <col min="4" max="4" width="11.81640625" customWidth="1"/>
    <col min="5" max="5" width="15.1796875" customWidth="1"/>
    <col min="6" max="6" width="23.54296875" customWidth="1"/>
    <col min="7" max="8" width="15.7265625" customWidth="1"/>
    <col min="9" max="9" width="15.54296875" customWidth="1"/>
    <col min="10" max="10" width="27.54296875" customWidth="1"/>
    <col min="11" max="11" width="14.453125" customWidth="1"/>
    <col min="12" max="12" width="15.81640625" customWidth="1"/>
    <col min="13" max="13" width="16.1796875" customWidth="1"/>
    <col min="14" max="14" width="2.453125" customWidth="1"/>
    <col min="15" max="15" width="16.1796875" customWidth="1"/>
    <col min="16" max="16" width="13.26953125" bestFit="1" customWidth="1"/>
  </cols>
  <sheetData>
    <row r="2" spans="2:12" ht="15.5" x14ac:dyDescent="0.35">
      <c r="B2" s="177"/>
      <c r="C2" s="177"/>
      <c r="D2" s="177"/>
      <c r="E2" s="177"/>
    </row>
    <row r="3" spans="2:12" ht="15.5" x14ac:dyDescent="0.35">
      <c r="B3" s="158"/>
      <c r="C3" s="158"/>
      <c r="D3" s="158"/>
      <c r="E3" s="158"/>
    </row>
    <row r="4" spans="2:12" ht="19" thickBot="1" x14ac:dyDescent="0.5">
      <c r="B4" s="213" t="s">
        <v>0</v>
      </c>
      <c r="C4" s="213"/>
      <c r="D4" s="213"/>
      <c r="E4" s="1"/>
    </row>
    <row r="5" spans="2:12" x14ac:dyDescent="0.35">
      <c r="B5" s="216" t="s">
        <v>53</v>
      </c>
      <c r="C5" s="218" t="s">
        <v>16</v>
      </c>
      <c r="D5" s="219"/>
      <c r="E5" s="220" t="s">
        <v>4</v>
      </c>
      <c r="F5" s="220" t="s">
        <v>5</v>
      </c>
      <c r="G5" s="222" t="s">
        <v>35</v>
      </c>
      <c r="H5" s="223"/>
    </row>
    <row r="6" spans="2:12" ht="42.65" customHeight="1" thickBot="1" x14ac:dyDescent="0.4">
      <c r="B6" s="217"/>
      <c r="C6" s="9" t="s">
        <v>92</v>
      </c>
      <c r="D6" s="66" t="s">
        <v>126</v>
      </c>
      <c r="E6" s="221"/>
      <c r="F6" s="221"/>
      <c r="G6" s="67" t="s">
        <v>7</v>
      </c>
      <c r="H6" s="68" t="s">
        <v>8</v>
      </c>
    </row>
    <row r="7" spans="2:12" x14ac:dyDescent="0.35">
      <c r="B7" s="69" t="s">
        <v>93</v>
      </c>
      <c r="C7" s="70" t="s">
        <v>94</v>
      </c>
      <c r="D7" s="41"/>
      <c r="E7" s="71"/>
      <c r="F7" s="8"/>
      <c r="G7" s="72"/>
      <c r="H7" s="73"/>
    </row>
    <row r="8" spans="2:12" x14ac:dyDescent="0.35">
      <c r="B8" s="74" t="s">
        <v>9</v>
      </c>
      <c r="C8" s="75" t="s">
        <v>95</v>
      </c>
      <c r="D8" s="65"/>
      <c r="E8" s="76">
        <v>6</v>
      </c>
      <c r="F8" s="76">
        <v>60</v>
      </c>
      <c r="G8" s="77">
        <f>D8*E8*F8/1000</f>
        <v>0</v>
      </c>
      <c r="H8" s="78" t="e">
        <f>1/G8*0.6</f>
        <v>#DIV/0!</v>
      </c>
    </row>
    <row r="9" spans="2:12" ht="15" customHeight="1" x14ac:dyDescent="0.35">
      <c r="B9" s="79" t="s">
        <v>129</v>
      </c>
      <c r="C9" s="80" t="s">
        <v>22</v>
      </c>
      <c r="D9" s="42"/>
      <c r="E9" s="76">
        <v>12</v>
      </c>
      <c r="F9" s="76">
        <v>50</v>
      </c>
      <c r="G9" s="81">
        <f t="shared" ref="G9:G13" si="0">D9*E9*F9/1000</f>
        <v>0</v>
      </c>
      <c r="H9" s="82" t="e">
        <f>1/G9*0.6</f>
        <v>#DIV/0!</v>
      </c>
      <c r="I9" s="226"/>
      <c r="J9" s="227"/>
      <c r="K9" s="227"/>
      <c r="L9" s="227"/>
    </row>
    <row r="10" spans="2:12" ht="15" customHeight="1" x14ac:dyDescent="0.35">
      <c r="B10" s="83" t="s">
        <v>14</v>
      </c>
      <c r="C10" s="80" t="s">
        <v>23</v>
      </c>
      <c r="D10" s="43"/>
      <c r="E10" s="76">
        <v>10</v>
      </c>
      <c r="F10" s="76">
        <v>70</v>
      </c>
      <c r="G10" s="81">
        <f t="shared" si="0"/>
        <v>0</v>
      </c>
      <c r="H10" s="82" t="e">
        <f t="shared" ref="H10:H17" si="1">1/G10*0.6</f>
        <v>#DIV/0!</v>
      </c>
    </row>
    <row r="11" spans="2:12" ht="15" customHeight="1" x14ac:dyDescent="0.35">
      <c r="B11" s="83" t="s">
        <v>30</v>
      </c>
      <c r="C11" s="80" t="s">
        <v>44</v>
      </c>
      <c r="D11" s="44"/>
      <c r="E11" s="76">
        <v>8</v>
      </c>
      <c r="F11" s="76">
        <v>80</v>
      </c>
      <c r="G11" s="81">
        <f t="shared" si="0"/>
        <v>0</v>
      </c>
      <c r="H11" s="82" t="e">
        <f t="shared" si="1"/>
        <v>#DIV/0!</v>
      </c>
    </row>
    <row r="12" spans="2:12" ht="15" customHeight="1" x14ac:dyDescent="0.35">
      <c r="B12" s="84" t="s">
        <v>96</v>
      </c>
      <c r="C12" s="80" t="s">
        <v>15</v>
      </c>
      <c r="D12" s="42"/>
      <c r="E12" s="76">
        <v>10</v>
      </c>
      <c r="F12" s="76">
        <v>70</v>
      </c>
      <c r="G12" s="81">
        <f t="shared" si="0"/>
        <v>0</v>
      </c>
      <c r="H12" s="82" t="e">
        <f t="shared" si="1"/>
        <v>#DIV/0!</v>
      </c>
      <c r="I12" s="226"/>
      <c r="J12" s="227"/>
      <c r="K12" s="227"/>
    </row>
    <row r="13" spans="2:12" ht="15" customHeight="1" x14ac:dyDescent="0.35">
      <c r="B13" s="84" t="s">
        <v>97</v>
      </c>
      <c r="C13" s="80" t="s">
        <v>15</v>
      </c>
      <c r="D13" s="42"/>
      <c r="E13" s="76">
        <v>10</v>
      </c>
      <c r="F13" s="76">
        <v>70</v>
      </c>
      <c r="G13" s="81">
        <f t="shared" si="0"/>
        <v>0</v>
      </c>
      <c r="H13" s="82" t="e">
        <f t="shared" si="1"/>
        <v>#DIV/0!</v>
      </c>
      <c r="I13" s="21"/>
      <c r="J13" s="21"/>
      <c r="K13" s="21"/>
    </row>
    <row r="14" spans="2:12" x14ac:dyDescent="0.35">
      <c r="B14" s="74" t="s">
        <v>128</v>
      </c>
      <c r="C14" s="85" t="s">
        <v>98</v>
      </c>
      <c r="D14" s="43"/>
      <c r="E14" s="76"/>
      <c r="F14" s="76"/>
      <c r="G14" s="81"/>
      <c r="H14" s="82"/>
      <c r="I14" s="31"/>
    </row>
    <row r="15" spans="2:12" ht="15" customHeight="1" x14ac:dyDescent="0.35">
      <c r="B15" s="83" t="s">
        <v>34</v>
      </c>
      <c r="C15" s="75" t="s">
        <v>140</v>
      </c>
      <c r="D15" s="45"/>
      <c r="E15" s="76">
        <v>12</v>
      </c>
      <c r="F15" s="76">
        <v>50</v>
      </c>
      <c r="G15" s="77">
        <f>D15*5*E15*F15/1000</f>
        <v>0</v>
      </c>
      <c r="H15" s="82" t="e">
        <f t="shared" si="1"/>
        <v>#DIV/0!</v>
      </c>
      <c r="I15" s="226"/>
      <c r="J15" s="227"/>
      <c r="K15" s="227"/>
    </row>
    <row r="16" spans="2:12" ht="15.65" customHeight="1" x14ac:dyDescent="0.35">
      <c r="B16" s="84" t="s">
        <v>56</v>
      </c>
      <c r="C16" s="85" t="s">
        <v>99</v>
      </c>
      <c r="D16" s="44"/>
      <c r="E16" s="76">
        <v>25</v>
      </c>
      <c r="F16" s="76">
        <v>80</v>
      </c>
      <c r="G16" s="81"/>
      <c r="H16" s="82"/>
      <c r="J16" s="57"/>
    </row>
    <row r="17" spans="2:11" ht="15" customHeight="1" x14ac:dyDescent="0.35">
      <c r="B17" s="83" t="s">
        <v>32</v>
      </c>
      <c r="C17" s="80" t="s">
        <v>15</v>
      </c>
      <c r="D17" s="44"/>
      <c r="E17" s="76">
        <v>12</v>
      </c>
      <c r="F17" s="76">
        <v>80</v>
      </c>
      <c r="G17" s="81">
        <f>D17*E17*F17/1000</f>
        <v>0</v>
      </c>
      <c r="H17" s="82" t="e">
        <f t="shared" si="1"/>
        <v>#DIV/0!</v>
      </c>
      <c r="J17" s="57"/>
    </row>
    <row r="18" spans="2:11" ht="15" customHeight="1" thickBot="1" x14ac:dyDescent="0.4">
      <c r="B18" s="86" t="s">
        <v>33</v>
      </c>
      <c r="C18" s="87" t="s">
        <v>138</v>
      </c>
      <c r="D18" s="60"/>
      <c r="E18" s="88"/>
      <c r="F18" s="88"/>
      <c r="G18" s="89">
        <f t="shared" ref="G18:G22" si="2">D18*E18*F18/1000</f>
        <v>0</v>
      </c>
      <c r="H18" s="90"/>
      <c r="I18" s="40"/>
      <c r="J18" s="57"/>
      <c r="K18" s="40"/>
    </row>
    <row r="19" spans="2:11" ht="15" customHeight="1" x14ac:dyDescent="0.35">
      <c r="B19" s="91" t="s">
        <v>100</v>
      </c>
      <c r="C19" s="75" t="s">
        <v>15</v>
      </c>
      <c r="D19" s="45"/>
      <c r="E19" s="76">
        <v>2</v>
      </c>
      <c r="F19" s="76">
        <v>80</v>
      </c>
      <c r="G19" s="77">
        <f t="shared" si="2"/>
        <v>0</v>
      </c>
      <c r="H19" s="78" t="e">
        <f t="shared" ref="H19:H28" si="3">1/G19*0.6</f>
        <v>#DIV/0!</v>
      </c>
      <c r="I19" s="40"/>
      <c r="J19" s="57"/>
      <c r="K19" s="40"/>
    </row>
    <row r="20" spans="2:11" ht="15" customHeight="1" x14ac:dyDescent="0.35">
      <c r="B20" s="92" t="s">
        <v>58</v>
      </c>
      <c r="C20" s="93" t="s">
        <v>101</v>
      </c>
      <c r="D20" s="44"/>
      <c r="E20" s="76">
        <v>10</v>
      </c>
      <c r="F20" s="76">
        <v>70</v>
      </c>
      <c r="G20" s="81">
        <f>D20*E20*F20/1000</f>
        <v>0</v>
      </c>
      <c r="H20" s="82" t="e">
        <f t="shared" si="3"/>
        <v>#DIV/0!</v>
      </c>
      <c r="J20" s="57"/>
      <c r="K20" s="40"/>
    </row>
    <row r="21" spans="2:11" ht="15" customHeight="1" x14ac:dyDescent="0.35">
      <c r="B21" s="92" t="s">
        <v>59</v>
      </c>
      <c r="C21" s="80" t="s">
        <v>15</v>
      </c>
      <c r="D21" s="44"/>
      <c r="E21" s="76">
        <v>10</v>
      </c>
      <c r="F21" s="76">
        <v>70</v>
      </c>
      <c r="G21" s="81">
        <f>D21*E21*F21/1000</f>
        <v>0</v>
      </c>
      <c r="H21" s="82" t="e">
        <f t="shared" si="3"/>
        <v>#DIV/0!</v>
      </c>
      <c r="I21" s="40"/>
      <c r="J21" s="57"/>
      <c r="K21" s="40"/>
    </row>
    <row r="22" spans="2:11" ht="15" customHeight="1" x14ac:dyDescent="0.35">
      <c r="B22" s="92" t="s">
        <v>60</v>
      </c>
      <c r="C22" s="80" t="s">
        <v>15</v>
      </c>
      <c r="D22" s="44"/>
      <c r="E22" s="76">
        <v>10</v>
      </c>
      <c r="F22" s="76">
        <v>70</v>
      </c>
      <c r="G22" s="81">
        <f t="shared" si="2"/>
        <v>0</v>
      </c>
      <c r="H22" s="82" t="e">
        <f t="shared" si="3"/>
        <v>#DIV/0!</v>
      </c>
      <c r="I22" s="40"/>
      <c r="J22" s="57"/>
      <c r="K22" s="40"/>
    </row>
    <row r="23" spans="2:11" ht="15" customHeight="1" x14ac:dyDescent="0.35">
      <c r="B23" s="92" t="s">
        <v>61</v>
      </c>
      <c r="C23" s="80" t="s">
        <v>102</v>
      </c>
      <c r="D23" s="44"/>
      <c r="E23" s="94"/>
      <c r="F23" s="95"/>
      <c r="G23" s="81"/>
      <c r="H23" s="82"/>
      <c r="I23" s="40"/>
      <c r="J23" s="57"/>
      <c r="K23" s="40"/>
    </row>
    <row r="24" spans="2:11" ht="15" customHeight="1" x14ac:dyDescent="0.35">
      <c r="B24" s="92" t="s">
        <v>62</v>
      </c>
      <c r="C24" s="80" t="s">
        <v>15</v>
      </c>
      <c r="D24" s="44"/>
      <c r="E24" s="94">
        <v>7</v>
      </c>
      <c r="F24" s="76">
        <v>70</v>
      </c>
      <c r="G24" s="81">
        <f>D24*E24*F24/1000</f>
        <v>0</v>
      </c>
      <c r="H24" s="82" t="e">
        <f t="shared" si="3"/>
        <v>#DIV/0!</v>
      </c>
      <c r="I24" s="40"/>
      <c r="J24" s="57"/>
      <c r="K24" s="40"/>
    </row>
    <row r="25" spans="2:11" ht="15" customHeight="1" x14ac:dyDescent="0.35">
      <c r="B25" s="92" t="s">
        <v>63</v>
      </c>
      <c r="C25" s="93" t="s">
        <v>87</v>
      </c>
      <c r="D25" s="44"/>
      <c r="E25" s="94">
        <v>4</v>
      </c>
      <c r="F25" s="76">
        <v>70</v>
      </c>
      <c r="G25" s="81">
        <f>D25*E25*F25*0.8/1000</f>
        <v>0</v>
      </c>
      <c r="H25" s="82" t="e">
        <f t="shared" si="3"/>
        <v>#DIV/0!</v>
      </c>
      <c r="I25" s="40"/>
      <c r="J25" s="57"/>
      <c r="K25" s="40"/>
    </row>
    <row r="26" spans="2:11" ht="15" customHeight="1" x14ac:dyDescent="0.35">
      <c r="B26" s="92" t="s">
        <v>64</v>
      </c>
      <c r="C26" s="93" t="s">
        <v>87</v>
      </c>
      <c r="D26" s="44"/>
      <c r="E26" s="94">
        <v>2</v>
      </c>
      <c r="F26" s="76">
        <v>70</v>
      </c>
      <c r="G26" s="81">
        <f>D26*E26*F26*0.8/1000</f>
        <v>0</v>
      </c>
      <c r="H26" s="82" t="e">
        <f t="shared" si="3"/>
        <v>#DIV/0!</v>
      </c>
      <c r="I26" s="40"/>
      <c r="J26" s="57"/>
      <c r="K26" s="40"/>
    </row>
    <row r="27" spans="2:11" ht="15" customHeight="1" x14ac:dyDescent="0.35">
      <c r="B27" s="92" t="s">
        <v>91</v>
      </c>
      <c r="C27" s="93" t="s">
        <v>87</v>
      </c>
      <c r="D27" s="44"/>
      <c r="E27" s="94">
        <v>3</v>
      </c>
      <c r="F27" s="76">
        <v>80</v>
      </c>
      <c r="G27" s="81">
        <f>D27*E27*F27*0.8/1000</f>
        <v>0</v>
      </c>
      <c r="H27" s="82" t="e">
        <f t="shared" si="3"/>
        <v>#DIV/0!</v>
      </c>
      <c r="I27" s="40"/>
      <c r="J27" s="57"/>
      <c r="K27" s="40"/>
    </row>
    <row r="28" spans="2:11" ht="15" customHeight="1" thickBot="1" x14ac:dyDescent="0.4">
      <c r="B28" s="92" t="s">
        <v>65</v>
      </c>
      <c r="C28" s="93" t="s">
        <v>86</v>
      </c>
      <c r="D28" s="44"/>
      <c r="E28" s="94">
        <v>4</v>
      </c>
      <c r="F28" s="94">
        <v>40</v>
      </c>
      <c r="G28" s="81">
        <f>D28*E28*F28*0.8/1000</f>
        <v>0</v>
      </c>
      <c r="H28" s="82" t="e">
        <f t="shared" si="3"/>
        <v>#DIV/0!</v>
      </c>
      <c r="I28" s="40"/>
      <c r="J28" s="57"/>
      <c r="K28" s="40"/>
    </row>
    <row r="29" spans="2:11" ht="15" customHeight="1" thickBot="1" x14ac:dyDescent="0.4">
      <c r="B29" s="92" t="s">
        <v>66</v>
      </c>
      <c r="C29" s="93" t="s">
        <v>85</v>
      </c>
      <c r="D29" s="44"/>
      <c r="E29" s="94">
        <v>1</v>
      </c>
      <c r="F29" s="94"/>
      <c r="G29" s="96"/>
      <c r="H29" s="97"/>
      <c r="I29" s="40"/>
      <c r="J29" s="62"/>
      <c r="K29" s="63"/>
    </row>
    <row r="30" spans="2:11" ht="15" customHeight="1" x14ac:dyDescent="0.35">
      <c r="B30" s="98" t="s">
        <v>67</v>
      </c>
      <c r="C30" s="99" t="s">
        <v>103</v>
      </c>
      <c r="D30" s="59"/>
      <c r="E30" s="100">
        <v>5</v>
      </c>
      <c r="F30" s="100">
        <v>70</v>
      </c>
      <c r="G30" s="101">
        <f>D30*E30*F30/1000*0.2</f>
        <v>0</v>
      </c>
      <c r="H30" s="102" t="e">
        <f t="shared" ref="H30" si="4">1/G30*0.6</f>
        <v>#DIV/0!</v>
      </c>
      <c r="I30" s="40"/>
      <c r="K30" s="40"/>
    </row>
    <row r="31" spans="2:11" ht="15" customHeight="1" x14ac:dyDescent="0.35">
      <c r="B31" s="83" t="s">
        <v>68</v>
      </c>
      <c r="C31" s="80" t="s">
        <v>104</v>
      </c>
      <c r="D31" s="43"/>
      <c r="E31" s="95">
        <v>40</v>
      </c>
      <c r="F31" s="95">
        <v>40</v>
      </c>
      <c r="G31" s="81"/>
      <c r="H31" s="82"/>
      <c r="I31" s="40"/>
      <c r="K31" s="40"/>
    </row>
    <row r="32" spans="2:11" ht="60.65" customHeight="1" x14ac:dyDescent="0.35">
      <c r="B32" s="84" t="s">
        <v>69</v>
      </c>
      <c r="C32" s="80" t="s">
        <v>102</v>
      </c>
      <c r="D32" s="43"/>
      <c r="E32" s="228" t="s">
        <v>136</v>
      </c>
      <c r="F32" s="229"/>
      <c r="G32" s="229"/>
      <c r="H32" s="230"/>
      <c r="I32" s="40"/>
      <c r="K32" s="40"/>
    </row>
    <row r="33" spans="2:11" ht="15" customHeight="1" x14ac:dyDescent="0.35">
      <c r="B33" s="83" t="s">
        <v>70</v>
      </c>
      <c r="C33" s="93" t="s">
        <v>105</v>
      </c>
      <c r="D33" s="43"/>
      <c r="E33" s="95">
        <v>6</v>
      </c>
      <c r="F33" s="95">
        <v>80</v>
      </c>
      <c r="G33" s="81">
        <f>D33*E33*F33/10000*0.6</f>
        <v>0</v>
      </c>
      <c r="H33" s="82" t="e">
        <f t="shared" ref="H33:H46" si="5">1/G33*0.6</f>
        <v>#DIV/0!</v>
      </c>
      <c r="I33" s="40"/>
      <c r="K33" s="40"/>
    </row>
    <row r="34" spans="2:11" ht="15" customHeight="1" x14ac:dyDescent="0.35">
      <c r="B34" s="83" t="s">
        <v>71</v>
      </c>
      <c r="C34" s="80" t="s">
        <v>15</v>
      </c>
      <c r="D34" s="43"/>
      <c r="E34" s="95">
        <v>2</v>
      </c>
      <c r="F34" s="95">
        <v>80</v>
      </c>
      <c r="G34" s="81">
        <f>D34*E34*F34/1000</f>
        <v>0</v>
      </c>
      <c r="H34" s="82" t="e">
        <f t="shared" si="5"/>
        <v>#DIV/0!</v>
      </c>
      <c r="I34" s="40"/>
      <c r="K34" s="40"/>
    </row>
    <row r="35" spans="2:11" ht="15" customHeight="1" x14ac:dyDescent="0.35">
      <c r="B35" s="83" t="s">
        <v>72</v>
      </c>
      <c r="C35" s="80" t="s">
        <v>139</v>
      </c>
      <c r="D35" s="43"/>
      <c r="E35" s="95">
        <v>1</v>
      </c>
      <c r="F35" s="95">
        <v>90</v>
      </c>
      <c r="G35" s="103">
        <f>D35/F35*100</f>
        <v>0</v>
      </c>
      <c r="H35" s="82" t="e">
        <f t="shared" si="5"/>
        <v>#DIV/0!</v>
      </c>
      <c r="I35" s="40"/>
      <c r="K35" s="40"/>
    </row>
    <row r="36" spans="2:11" ht="15" customHeight="1" x14ac:dyDescent="0.35">
      <c r="B36" s="83" t="s">
        <v>73</v>
      </c>
      <c r="C36" s="80" t="s">
        <v>139</v>
      </c>
      <c r="D36" s="43"/>
      <c r="E36" s="95">
        <v>1</v>
      </c>
      <c r="F36" s="95">
        <v>90</v>
      </c>
      <c r="G36" s="103">
        <f>D36/F36*100</f>
        <v>0</v>
      </c>
      <c r="H36" s="82" t="e">
        <f t="shared" si="5"/>
        <v>#DIV/0!</v>
      </c>
      <c r="I36" s="40"/>
      <c r="K36" s="40"/>
    </row>
    <row r="37" spans="2:11" x14ac:dyDescent="0.35">
      <c r="B37" s="84" t="s">
        <v>106</v>
      </c>
      <c r="C37" s="85" t="s">
        <v>107</v>
      </c>
      <c r="D37" s="43"/>
      <c r="E37" s="95">
        <v>1</v>
      </c>
      <c r="F37" s="95">
        <v>90</v>
      </c>
      <c r="G37" s="103">
        <f>D37*F37/1000</f>
        <v>0</v>
      </c>
      <c r="H37" s="82" t="e">
        <f>1/G37*0.6</f>
        <v>#DIV/0!</v>
      </c>
      <c r="I37" s="40"/>
      <c r="K37" s="40"/>
    </row>
    <row r="38" spans="2:11" ht="15" customHeight="1" x14ac:dyDescent="0.35">
      <c r="B38" s="83" t="s">
        <v>75</v>
      </c>
      <c r="C38" s="80" t="s">
        <v>15</v>
      </c>
      <c r="D38" s="43"/>
      <c r="E38" s="95">
        <v>3</v>
      </c>
      <c r="F38" s="95">
        <v>70</v>
      </c>
      <c r="G38" s="81">
        <f>D38*E38*F38*0.8/1000</f>
        <v>0</v>
      </c>
      <c r="H38" s="82" t="e">
        <f t="shared" si="5"/>
        <v>#DIV/0!</v>
      </c>
      <c r="I38" s="40"/>
      <c r="K38" s="40"/>
    </row>
    <row r="39" spans="2:11" ht="15" customHeight="1" thickBot="1" x14ac:dyDescent="0.4">
      <c r="B39" s="83" t="s">
        <v>76</v>
      </c>
      <c r="C39" s="80" t="s">
        <v>108</v>
      </c>
      <c r="D39" s="43"/>
      <c r="E39" s="95">
        <v>1.5</v>
      </c>
      <c r="F39" s="95">
        <v>80</v>
      </c>
      <c r="G39" s="104">
        <f>D39*E39*F39/1000</f>
        <v>0</v>
      </c>
      <c r="H39" s="82" t="e">
        <f t="shared" si="5"/>
        <v>#DIV/0!</v>
      </c>
      <c r="I39" s="40"/>
      <c r="K39" s="40"/>
    </row>
    <row r="40" spans="2:11" x14ac:dyDescent="0.35">
      <c r="B40" s="188" t="s">
        <v>142</v>
      </c>
      <c r="C40" s="189" t="s">
        <v>15</v>
      </c>
      <c r="D40" s="190"/>
      <c r="E40" s="191">
        <v>10</v>
      </c>
      <c r="F40" s="191">
        <v>80</v>
      </c>
      <c r="G40" s="101">
        <f>D40*E40*F40/1000</f>
        <v>0</v>
      </c>
      <c r="H40" s="102" t="e">
        <f t="shared" si="5"/>
        <v>#DIV/0!</v>
      </c>
    </row>
    <row r="41" spans="2:11" x14ac:dyDescent="0.35">
      <c r="B41" s="92" t="s">
        <v>143</v>
      </c>
      <c r="C41" s="192" t="s">
        <v>15</v>
      </c>
      <c r="D41" s="44"/>
      <c r="E41" s="94">
        <v>8</v>
      </c>
      <c r="F41" s="94">
        <v>70</v>
      </c>
      <c r="G41" s="81">
        <f>D41*E41*F41/1000</f>
        <v>0</v>
      </c>
      <c r="H41" s="82" t="e">
        <f t="shared" si="5"/>
        <v>#DIV/0!</v>
      </c>
    </row>
    <row r="42" spans="2:11" x14ac:dyDescent="0.35">
      <c r="B42" s="92" t="s">
        <v>144</v>
      </c>
      <c r="C42" s="192" t="s">
        <v>15</v>
      </c>
      <c r="D42" s="44"/>
      <c r="E42" s="94">
        <v>4</v>
      </c>
      <c r="F42" s="94">
        <v>80</v>
      </c>
      <c r="G42" s="81">
        <f>D42*E42*F42/1000</f>
        <v>0</v>
      </c>
      <c r="H42" s="82" t="e">
        <f t="shared" si="5"/>
        <v>#DIV/0!</v>
      </c>
    </row>
    <row r="43" spans="2:11" x14ac:dyDescent="0.35">
      <c r="B43" s="92" t="s">
        <v>145</v>
      </c>
      <c r="C43" s="192" t="s">
        <v>146</v>
      </c>
      <c r="D43" s="44"/>
      <c r="E43" s="94">
        <v>30</v>
      </c>
      <c r="F43" s="94">
        <v>80</v>
      </c>
      <c r="G43" s="193">
        <f>D43*E43*F43/1000</f>
        <v>0</v>
      </c>
      <c r="H43" s="97" t="e">
        <f t="shared" si="5"/>
        <v>#DIV/0!</v>
      </c>
    </row>
    <row r="44" spans="2:11" x14ac:dyDescent="0.35">
      <c r="B44" s="92" t="s">
        <v>147</v>
      </c>
      <c r="C44" s="80" t="s">
        <v>125</v>
      </c>
      <c r="D44" s="44"/>
      <c r="E44" s="94">
        <v>1</v>
      </c>
      <c r="F44" s="94">
        <v>80</v>
      </c>
      <c r="G44" s="81">
        <f>D44*E44*F44/100</f>
        <v>0</v>
      </c>
      <c r="H44" s="82" t="e">
        <f t="shared" si="5"/>
        <v>#DIV/0!</v>
      </c>
    </row>
    <row r="45" spans="2:11" x14ac:dyDescent="0.35">
      <c r="B45" s="92" t="s">
        <v>148</v>
      </c>
      <c r="C45" s="80" t="s">
        <v>125</v>
      </c>
      <c r="D45" s="44"/>
      <c r="E45" s="94">
        <v>1</v>
      </c>
      <c r="F45" s="94">
        <v>90</v>
      </c>
      <c r="G45" s="81">
        <f>D45*E45*F45/100</f>
        <v>0</v>
      </c>
      <c r="H45" s="82" t="e">
        <f t="shared" si="5"/>
        <v>#DIV/0!</v>
      </c>
    </row>
    <row r="46" spans="2:11" ht="15" thickBot="1" x14ac:dyDescent="0.4">
      <c r="B46" s="86" t="s">
        <v>149</v>
      </c>
      <c r="C46" s="87" t="s">
        <v>15</v>
      </c>
      <c r="D46" s="60"/>
      <c r="E46" s="88">
        <v>7</v>
      </c>
      <c r="F46" s="88">
        <v>70</v>
      </c>
      <c r="G46" s="89">
        <f>D46*E46*F46/1000</f>
        <v>0</v>
      </c>
      <c r="H46" s="90" t="e">
        <f t="shared" si="5"/>
        <v>#DIV/0!</v>
      </c>
    </row>
    <row r="47" spans="2:11" x14ac:dyDescent="0.35">
      <c r="B47" s="22"/>
      <c r="C47" s="22"/>
      <c r="D47" s="22"/>
      <c r="E47" s="2"/>
      <c r="F47" s="2"/>
      <c r="G47" s="20"/>
    </row>
    <row r="48" spans="2:11" ht="19" thickBot="1" x14ac:dyDescent="0.5">
      <c r="B48" s="213" t="s">
        <v>24</v>
      </c>
      <c r="C48" s="213"/>
      <c r="D48" s="213"/>
    </row>
    <row r="49" spans="2:19" ht="46" customHeight="1" thickBot="1" x14ac:dyDescent="0.4">
      <c r="B49" s="180" t="s">
        <v>53</v>
      </c>
      <c r="C49" s="181" t="s">
        <v>94</v>
      </c>
      <c r="D49" s="182" t="s">
        <v>126</v>
      </c>
      <c r="E49" s="182" t="s">
        <v>28</v>
      </c>
      <c r="F49" s="183" t="s">
        <v>12</v>
      </c>
      <c r="G49" s="182" t="s">
        <v>26</v>
      </c>
      <c r="H49" s="183" t="s">
        <v>11</v>
      </c>
      <c r="I49" s="184" t="s">
        <v>27</v>
      </c>
      <c r="J49" s="142" t="s">
        <v>141</v>
      </c>
      <c r="K49" s="35"/>
      <c r="L49" s="35"/>
    </row>
    <row r="50" spans="2:19" ht="15.65" customHeight="1" x14ac:dyDescent="0.35">
      <c r="B50" s="105" t="s">
        <v>9</v>
      </c>
      <c r="C50" s="46"/>
      <c r="D50" s="106">
        <f t="shared" ref="D50:D81" si="6">D8</f>
        <v>0</v>
      </c>
      <c r="E50" s="106">
        <v>8</v>
      </c>
      <c r="F50" s="107">
        <v>1</v>
      </c>
      <c r="G50" s="107">
        <f>E50*H50</f>
        <v>0</v>
      </c>
      <c r="H50" s="108">
        <f t="shared" ref="H50:H70" si="7">G8</f>
        <v>0</v>
      </c>
      <c r="I50" s="101" t="e">
        <f>C50/G50*F50</f>
        <v>#DIV/0!</v>
      </c>
      <c r="J50" s="109" t="s">
        <v>109</v>
      </c>
      <c r="K50" s="214"/>
      <c r="L50" s="215"/>
    </row>
    <row r="51" spans="2:19" ht="15.65" customHeight="1" x14ac:dyDescent="0.35">
      <c r="B51" s="110" t="s">
        <v>129</v>
      </c>
      <c r="C51" s="47"/>
      <c r="D51" s="111">
        <f t="shared" si="6"/>
        <v>0</v>
      </c>
      <c r="E51" s="111">
        <v>8</v>
      </c>
      <c r="F51" s="112">
        <v>1</v>
      </c>
      <c r="G51" s="112">
        <f>E51*H51</f>
        <v>0</v>
      </c>
      <c r="H51" s="113">
        <f t="shared" si="7"/>
        <v>0</v>
      </c>
      <c r="I51" s="114" t="e">
        <f t="shared" ref="I51:I57" si="8">C51/G51*F51</f>
        <v>#DIV/0!</v>
      </c>
      <c r="J51" s="109" t="s">
        <v>110</v>
      </c>
      <c r="K51" s="176"/>
    </row>
    <row r="52" spans="2:19" x14ac:dyDescent="0.35">
      <c r="B52" s="110" t="s">
        <v>21</v>
      </c>
      <c r="C52" s="47"/>
      <c r="D52" s="111">
        <f t="shared" si="6"/>
        <v>0</v>
      </c>
      <c r="E52" s="111">
        <v>8</v>
      </c>
      <c r="F52" s="116">
        <v>1</v>
      </c>
      <c r="G52" s="112">
        <f t="shared" ref="G52:G70" si="9">E52*H52</f>
        <v>0</v>
      </c>
      <c r="H52" s="113">
        <f t="shared" si="7"/>
        <v>0</v>
      </c>
      <c r="I52" s="114" t="e">
        <f t="shared" si="8"/>
        <v>#DIV/0!</v>
      </c>
      <c r="J52" s="109" t="s">
        <v>42</v>
      </c>
      <c r="K52" s="214"/>
      <c r="L52" s="215"/>
    </row>
    <row r="53" spans="2:19" ht="15.65" customHeight="1" x14ac:dyDescent="0.35">
      <c r="B53" s="110" t="s">
        <v>30</v>
      </c>
      <c r="C53" s="47"/>
      <c r="D53" s="111">
        <f t="shared" si="6"/>
        <v>0</v>
      </c>
      <c r="E53" s="111">
        <v>8</v>
      </c>
      <c r="F53" s="116">
        <v>1</v>
      </c>
      <c r="G53" s="112">
        <f t="shared" si="9"/>
        <v>0</v>
      </c>
      <c r="H53" s="113">
        <f t="shared" si="7"/>
        <v>0</v>
      </c>
      <c r="I53" s="114" t="e">
        <f t="shared" si="8"/>
        <v>#DIV/0!</v>
      </c>
      <c r="J53" s="109" t="s">
        <v>133</v>
      </c>
      <c r="K53" s="224"/>
      <c r="L53" s="225"/>
    </row>
    <row r="54" spans="2:19" x14ac:dyDescent="0.35">
      <c r="B54" s="84" t="s">
        <v>96</v>
      </c>
      <c r="C54" s="43"/>
      <c r="D54" s="95">
        <f t="shared" si="6"/>
        <v>0</v>
      </c>
      <c r="E54" s="95">
        <v>8</v>
      </c>
      <c r="F54" s="95">
        <v>2</v>
      </c>
      <c r="G54" s="117">
        <f t="shared" si="9"/>
        <v>0</v>
      </c>
      <c r="H54" s="118">
        <f t="shared" si="7"/>
        <v>0</v>
      </c>
      <c r="I54" s="114" t="e">
        <f t="shared" si="8"/>
        <v>#DIV/0!</v>
      </c>
      <c r="J54" s="119" t="s">
        <v>127</v>
      </c>
      <c r="K54" s="120"/>
    </row>
    <row r="55" spans="2:19" x14ac:dyDescent="0.35">
      <c r="B55" s="84" t="s">
        <v>97</v>
      </c>
      <c r="C55" s="43"/>
      <c r="D55" s="95">
        <f t="shared" si="6"/>
        <v>0</v>
      </c>
      <c r="E55" s="95">
        <v>8</v>
      </c>
      <c r="F55" s="95">
        <v>2</v>
      </c>
      <c r="G55" s="117">
        <f t="shared" si="9"/>
        <v>0</v>
      </c>
      <c r="H55" s="118">
        <f t="shared" si="7"/>
        <v>0</v>
      </c>
      <c r="I55" s="114" t="e">
        <f t="shared" si="8"/>
        <v>#DIV/0!</v>
      </c>
      <c r="J55" s="119" t="s">
        <v>127</v>
      </c>
      <c r="K55" s="120"/>
    </row>
    <row r="56" spans="2:19" ht="15.65" customHeight="1" x14ac:dyDescent="0.35">
      <c r="B56" s="121" t="s">
        <v>128</v>
      </c>
      <c r="C56" s="111" t="s">
        <v>111</v>
      </c>
      <c r="D56" s="111">
        <f t="shared" si="6"/>
        <v>0</v>
      </c>
      <c r="E56" s="111"/>
      <c r="F56" s="95"/>
      <c r="G56" s="112">
        <f t="shared" si="9"/>
        <v>0</v>
      </c>
      <c r="H56" s="113">
        <f t="shared" si="7"/>
        <v>0</v>
      </c>
      <c r="I56" s="114"/>
      <c r="J56" s="122" t="s">
        <v>111</v>
      </c>
      <c r="K56" s="224"/>
      <c r="L56" s="225"/>
      <c r="M56" s="225"/>
      <c r="N56" s="225"/>
      <c r="O56" s="225"/>
    </row>
    <row r="57" spans="2:19" ht="15.65" customHeight="1" x14ac:dyDescent="0.35">
      <c r="B57" s="110" t="s">
        <v>34</v>
      </c>
      <c r="C57" s="47"/>
      <c r="D57" s="111">
        <f t="shared" si="6"/>
        <v>0</v>
      </c>
      <c r="E57" s="111">
        <v>8</v>
      </c>
      <c r="F57" s="95">
        <v>1</v>
      </c>
      <c r="G57" s="112">
        <f t="shared" si="9"/>
        <v>0</v>
      </c>
      <c r="H57" s="113">
        <f t="shared" si="7"/>
        <v>0</v>
      </c>
      <c r="I57" s="114" t="e">
        <f t="shared" si="8"/>
        <v>#DIV/0!</v>
      </c>
      <c r="J57" s="109" t="s">
        <v>49</v>
      </c>
      <c r="K57" s="115"/>
    </row>
    <row r="58" spans="2:19" x14ac:dyDescent="0.35">
      <c r="B58" s="110" t="s">
        <v>56</v>
      </c>
      <c r="C58" s="47"/>
      <c r="D58" s="111">
        <f t="shared" si="6"/>
        <v>0</v>
      </c>
      <c r="E58" s="111">
        <v>8</v>
      </c>
      <c r="F58" s="95">
        <v>1</v>
      </c>
      <c r="G58" s="112">
        <f t="shared" si="9"/>
        <v>0</v>
      </c>
      <c r="H58" s="113">
        <f t="shared" si="7"/>
        <v>0</v>
      </c>
      <c r="I58" s="114"/>
      <c r="J58" s="109"/>
      <c r="K58" s="224"/>
      <c r="L58" s="225"/>
      <c r="M58" s="225"/>
    </row>
    <row r="59" spans="2:19" x14ac:dyDescent="0.35">
      <c r="B59" s="110" t="s">
        <v>32</v>
      </c>
      <c r="C59" s="47"/>
      <c r="D59" s="111">
        <f t="shared" si="6"/>
        <v>0</v>
      </c>
      <c r="E59" s="111">
        <v>8</v>
      </c>
      <c r="F59" s="95">
        <v>1</v>
      </c>
      <c r="G59" s="112">
        <f t="shared" si="9"/>
        <v>0</v>
      </c>
      <c r="H59" s="113">
        <f t="shared" si="7"/>
        <v>0</v>
      </c>
      <c r="I59" s="114" t="e">
        <f t="shared" ref="I59:I70" si="10">C59/G59*F59</f>
        <v>#DIV/0!</v>
      </c>
      <c r="J59" s="109" t="s">
        <v>137</v>
      </c>
      <c r="K59" s="224"/>
      <c r="L59" s="225"/>
      <c r="M59" s="225"/>
      <c r="N59" s="225"/>
      <c r="O59" s="225"/>
      <c r="P59" s="225"/>
      <c r="Q59" s="225"/>
      <c r="R59" s="225"/>
      <c r="S59" s="225"/>
    </row>
    <row r="60" spans="2:19" ht="15" thickBot="1" x14ac:dyDescent="0.4">
      <c r="B60" s="123" t="str">
        <f>B18</f>
        <v>Teleskopinis krautuvas</v>
      </c>
      <c r="C60" s="124" t="s">
        <v>112</v>
      </c>
      <c r="D60" s="124">
        <f t="shared" si="6"/>
        <v>0</v>
      </c>
      <c r="E60" s="124">
        <v>8</v>
      </c>
      <c r="F60" s="88">
        <v>1</v>
      </c>
      <c r="G60" s="125">
        <f t="shared" si="9"/>
        <v>0</v>
      </c>
      <c r="H60" s="126">
        <f t="shared" si="7"/>
        <v>0</v>
      </c>
      <c r="I60" s="127"/>
      <c r="J60" s="128" t="s">
        <v>112</v>
      </c>
      <c r="K60" s="115"/>
    </row>
    <row r="61" spans="2:19" x14ac:dyDescent="0.35">
      <c r="B61" s="129" t="s">
        <v>57</v>
      </c>
      <c r="C61" s="46"/>
      <c r="D61" s="106">
        <f t="shared" si="6"/>
        <v>0</v>
      </c>
      <c r="E61" s="106">
        <v>8</v>
      </c>
      <c r="F61" s="100">
        <v>1</v>
      </c>
      <c r="G61" s="107">
        <f t="shared" si="9"/>
        <v>0</v>
      </c>
      <c r="H61" s="108">
        <f t="shared" si="7"/>
        <v>0</v>
      </c>
      <c r="I61" s="130" t="e">
        <f t="shared" si="10"/>
        <v>#DIV/0!</v>
      </c>
      <c r="J61" s="131" t="s">
        <v>113</v>
      </c>
      <c r="K61" s="224"/>
      <c r="L61" s="225"/>
    </row>
    <row r="62" spans="2:19" x14ac:dyDescent="0.35">
      <c r="B62" s="110" t="s">
        <v>58</v>
      </c>
      <c r="C62" s="47"/>
      <c r="D62" s="111">
        <f t="shared" si="6"/>
        <v>0</v>
      </c>
      <c r="E62" s="111">
        <v>8</v>
      </c>
      <c r="F62" s="76">
        <v>1</v>
      </c>
      <c r="G62" s="112">
        <f>E62*H62</f>
        <v>0</v>
      </c>
      <c r="H62" s="113">
        <f t="shared" si="7"/>
        <v>0</v>
      </c>
      <c r="I62" s="114" t="e">
        <f>C62/G62*F62</f>
        <v>#DIV/0!</v>
      </c>
      <c r="J62" s="109" t="s">
        <v>110</v>
      </c>
      <c r="K62" s="226"/>
      <c r="L62" s="227"/>
    </row>
    <row r="63" spans="2:19" x14ac:dyDescent="0.35">
      <c r="B63" s="110" t="s">
        <v>59</v>
      </c>
      <c r="C63" s="47"/>
      <c r="D63" s="111">
        <f t="shared" si="6"/>
        <v>0</v>
      </c>
      <c r="E63" s="111">
        <v>8</v>
      </c>
      <c r="F63" s="76">
        <v>1</v>
      </c>
      <c r="G63" s="112">
        <f>E63*H63</f>
        <v>0</v>
      </c>
      <c r="H63" s="113">
        <f t="shared" si="7"/>
        <v>0</v>
      </c>
      <c r="I63" s="114" t="e">
        <f t="shared" si="10"/>
        <v>#DIV/0!</v>
      </c>
      <c r="J63" s="109" t="s">
        <v>134</v>
      </c>
      <c r="K63" s="21"/>
    </row>
    <row r="64" spans="2:19" x14ac:dyDescent="0.35">
      <c r="B64" s="110" t="s">
        <v>60</v>
      </c>
      <c r="C64" s="47"/>
      <c r="D64" s="111">
        <f t="shared" si="6"/>
        <v>0</v>
      </c>
      <c r="E64" s="111">
        <v>8</v>
      </c>
      <c r="F64" s="76">
        <v>2</v>
      </c>
      <c r="G64" s="112">
        <f t="shared" si="9"/>
        <v>0</v>
      </c>
      <c r="H64" s="113">
        <f t="shared" si="7"/>
        <v>0</v>
      </c>
      <c r="I64" s="114" t="e">
        <f t="shared" si="10"/>
        <v>#DIV/0!</v>
      </c>
      <c r="J64" s="109" t="s">
        <v>110</v>
      </c>
      <c r="K64" s="21"/>
    </row>
    <row r="65" spans="2:18" x14ac:dyDescent="0.35">
      <c r="B65" s="110" t="s">
        <v>61</v>
      </c>
      <c r="C65" s="47"/>
      <c r="D65" s="111">
        <f t="shared" si="6"/>
        <v>0</v>
      </c>
      <c r="E65" s="111"/>
      <c r="F65" s="76">
        <v>1</v>
      </c>
      <c r="G65" s="112">
        <f t="shared" si="9"/>
        <v>0</v>
      </c>
      <c r="H65" s="113">
        <f t="shared" si="7"/>
        <v>0</v>
      </c>
      <c r="I65" s="114"/>
      <c r="J65" s="109"/>
      <c r="K65" s="224"/>
      <c r="L65" s="225"/>
    </row>
    <row r="66" spans="2:18" x14ac:dyDescent="0.35">
      <c r="B66" s="110" t="s">
        <v>62</v>
      </c>
      <c r="C66" s="47"/>
      <c r="D66" s="111">
        <f t="shared" si="6"/>
        <v>0</v>
      </c>
      <c r="E66" s="111">
        <v>8</v>
      </c>
      <c r="F66" s="76">
        <v>1</v>
      </c>
      <c r="G66" s="112">
        <f t="shared" si="9"/>
        <v>0</v>
      </c>
      <c r="H66" s="113">
        <f t="shared" si="7"/>
        <v>0</v>
      </c>
      <c r="I66" s="114" t="e">
        <f>C66/G66*F66</f>
        <v>#DIV/0!</v>
      </c>
      <c r="J66" s="109" t="s">
        <v>109</v>
      </c>
      <c r="K66" s="226"/>
      <c r="L66" s="227"/>
    </row>
    <row r="67" spans="2:18" x14ac:dyDescent="0.35">
      <c r="B67" s="110" t="s">
        <v>63</v>
      </c>
      <c r="C67" s="47"/>
      <c r="D67" s="111">
        <f t="shared" si="6"/>
        <v>0</v>
      </c>
      <c r="E67" s="111">
        <v>8</v>
      </c>
      <c r="F67" s="76">
        <v>1</v>
      </c>
      <c r="G67" s="112">
        <f t="shared" si="9"/>
        <v>0</v>
      </c>
      <c r="H67" s="113">
        <f t="shared" si="7"/>
        <v>0</v>
      </c>
      <c r="I67" s="114" t="e">
        <f t="shared" si="10"/>
        <v>#DIV/0!</v>
      </c>
      <c r="J67" s="109" t="s">
        <v>113</v>
      </c>
      <c r="K67" s="226"/>
      <c r="L67" s="227"/>
    </row>
    <row r="68" spans="2:18" x14ac:dyDescent="0.35">
      <c r="B68" s="110" t="s">
        <v>64</v>
      </c>
      <c r="C68" s="47"/>
      <c r="D68" s="111">
        <f t="shared" si="6"/>
        <v>0</v>
      </c>
      <c r="E68" s="111">
        <v>8</v>
      </c>
      <c r="F68" s="76">
        <v>1</v>
      </c>
      <c r="G68" s="112">
        <f t="shared" si="9"/>
        <v>0</v>
      </c>
      <c r="H68" s="113">
        <f t="shared" si="7"/>
        <v>0</v>
      </c>
      <c r="I68" s="114" t="e">
        <f t="shared" si="10"/>
        <v>#DIV/0!</v>
      </c>
      <c r="J68" s="109" t="s">
        <v>114</v>
      </c>
      <c r="K68" s="115"/>
    </row>
    <row r="69" spans="2:18" x14ac:dyDescent="0.35">
      <c r="B69" s="110" t="s">
        <v>91</v>
      </c>
      <c r="C69" s="47"/>
      <c r="D69" s="111">
        <f t="shared" si="6"/>
        <v>0</v>
      </c>
      <c r="E69" s="111">
        <v>8</v>
      </c>
      <c r="F69" s="76">
        <v>1</v>
      </c>
      <c r="G69" s="112">
        <f t="shared" si="9"/>
        <v>0</v>
      </c>
      <c r="H69" s="113">
        <f t="shared" si="7"/>
        <v>0</v>
      </c>
      <c r="I69" s="114" t="e">
        <f t="shared" si="10"/>
        <v>#DIV/0!</v>
      </c>
      <c r="J69" s="109" t="s">
        <v>110</v>
      </c>
      <c r="K69" s="226"/>
      <c r="L69" s="227"/>
    </row>
    <row r="70" spans="2:18" x14ac:dyDescent="0.35">
      <c r="B70" s="110" t="s">
        <v>115</v>
      </c>
      <c r="C70" s="47"/>
      <c r="D70" s="111">
        <f t="shared" si="6"/>
        <v>0</v>
      </c>
      <c r="E70" s="111">
        <v>8</v>
      </c>
      <c r="F70" s="76">
        <v>1</v>
      </c>
      <c r="G70" s="112">
        <f t="shared" si="9"/>
        <v>0</v>
      </c>
      <c r="H70" s="112">
        <f t="shared" si="7"/>
        <v>0</v>
      </c>
      <c r="I70" s="114" t="e">
        <f t="shared" si="10"/>
        <v>#DIV/0!</v>
      </c>
      <c r="J70" s="109" t="s">
        <v>109</v>
      </c>
      <c r="K70" s="226"/>
      <c r="L70" s="227"/>
    </row>
    <row r="71" spans="2:18" ht="15" thickBot="1" x14ac:dyDescent="0.4">
      <c r="B71" s="132" t="s">
        <v>116</v>
      </c>
      <c r="C71" s="56"/>
      <c r="D71" s="124">
        <f t="shared" si="6"/>
        <v>0</v>
      </c>
      <c r="E71" s="133">
        <v>8</v>
      </c>
      <c r="F71" s="134">
        <v>1</v>
      </c>
      <c r="G71" s="125"/>
      <c r="H71" s="125"/>
      <c r="I71" s="127" t="e">
        <f>C71/D71</f>
        <v>#DIV/0!</v>
      </c>
      <c r="J71" s="135" t="s">
        <v>117</v>
      </c>
      <c r="K71" s="226"/>
      <c r="L71" s="227"/>
    </row>
    <row r="72" spans="2:18" x14ac:dyDescent="0.35">
      <c r="B72" s="121" t="s">
        <v>118</v>
      </c>
      <c r="C72" s="61"/>
      <c r="D72" s="136">
        <f t="shared" si="6"/>
        <v>0</v>
      </c>
      <c r="E72" s="136">
        <v>8</v>
      </c>
      <c r="F72" s="76">
        <v>1</v>
      </c>
      <c r="G72" s="112">
        <f>E72*H72</f>
        <v>0</v>
      </c>
      <c r="H72" s="113">
        <f>G30</f>
        <v>0</v>
      </c>
      <c r="I72" s="77" t="e">
        <f>C72*36/D72/E72</f>
        <v>#DIV/0!</v>
      </c>
      <c r="J72" s="109" t="s">
        <v>113</v>
      </c>
      <c r="K72" s="233"/>
      <c r="L72" s="234"/>
      <c r="M72" s="234"/>
      <c r="O72" s="137"/>
    </row>
    <row r="73" spans="2:18" ht="29.15" customHeight="1" x14ac:dyDescent="0.35">
      <c r="B73" s="138" t="s">
        <v>119</v>
      </c>
      <c r="C73" s="58"/>
      <c r="D73" s="95">
        <f t="shared" si="6"/>
        <v>0</v>
      </c>
      <c r="E73" s="76">
        <v>8</v>
      </c>
      <c r="F73" s="76">
        <v>1</v>
      </c>
      <c r="G73" s="117">
        <f t="shared" ref="G73:G88" si="11">E73*H73</f>
        <v>0</v>
      </c>
      <c r="H73" s="118">
        <f>G31</f>
        <v>0</v>
      </c>
      <c r="I73" s="77">
        <f>C73/F73</f>
        <v>0</v>
      </c>
      <c r="J73" s="139">
        <f>D73/1.2</f>
        <v>0</v>
      </c>
      <c r="K73" s="224"/>
      <c r="L73" s="225"/>
    </row>
    <row r="74" spans="2:18" ht="14.5" customHeight="1" x14ac:dyDescent="0.35">
      <c r="B74" s="121" t="s">
        <v>69</v>
      </c>
      <c r="C74" s="47"/>
      <c r="D74" s="111">
        <f t="shared" si="6"/>
        <v>0</v>
      </c>
      <c r="E74" s="136">
        <v>8</v>
      </c>
      <c r="F74" s="76">
        <v>1</v>
      </c>
      <c r="G74" s="112">
        <f t="shared" si="11"/>
        <v>0</v>
      </c>
      <c r="H74" s="113">
        <f>G32</f>
        <v>0</v>
      </c>
      <c r="I74" s="77">
        <f>D74*F74</f>
        <v>0</v>
      </c>
      <c r="J74" s="140" t="s">
        <v>120</v>
      </c>
      <c r="K74" s="235"/>
      <c r="L74" s="236"/>
      <c r="M74" s="236"/>
      <c r="N74" s="236"/>
      <c r="O74" s="236"/>
      <c r="P74" s="236"/>
      <c r="Q74" s="236"/>
      <c r="R74" s="236"/>
    </row>
    <row r="75" spans="2:18" x14ac:dyDescent="0.35">
      <c r="B75" s="121" t="s">
        <v>70</v>
      </c>
      <c r="C75" s="61"/>
      <c r="D75" s="111">
        <f t="shared" si="6"/>
        <v>0</v>
      </c>
      <c r="E75" s="136">
        <v>8</v>
      </c>
      <c r="F75" s="76">
        <v>1</v>
      </c>
      <c r="G75" s="112">
        <f t="shared" si="11"/>
        <v>0</v>
      </c>
      <c r="H75" s="113">
        <f>G33</f>
        <v>0</v>
      </c>
      <c r="I75" s="77" t="e">
        <f>(C75*20)/D75/E75/F75</f>
        <v>#DIV/0!</v>
      </c>
      <c r="J75" s="109" t="s">
        <v>110</v>
      </c>
      <c r="K75" s="115"/>
    </row>
    <row r="76" spans="2:18" x14ac:dyDescent="0.35">
      <c r="B76" s="121" t="s">
        <v>71</v>
      </c>
      <c r="C76" s="61"/>
      <c r="D76" s="111">
        <f t="shared" si="6"/>
        <v>0</v>
      </c>
      <c r="E76" s="136">
        <v>8</v>
      </c>
      <c r="F76" s="76">
        <v>1</v>
      </c>
      <c r="G76" s="112">
        <f>E76*H76</f>
        <v>0</v>
      </c>
      <c r="H76" s="113">
        <f>G34</f>
        <v>0</v>
      </c>
      <c r="I76" s="114" t="e">
        <f>C76/G76*F76</f>
        <v>#DIV/0!</v>
      </c>
      <c r="J76" s="109" t="s">
        <v>121</v>
      </c>
      <c r="K76" s="226"/>
      <c r="L76" s="227"/>
    </row>
    <row r="77" spans="2:18" x14ac:dyDescent="0.35">
      <c r="B77" s="121" t="s">
        <v>72</v>
      </c>
      <c r="C77" s="185"/>
      <c r="D77" s="111">
        <f t="shared" si="6"/>
        <v>0</v>
      </c>
      <c r="E77" s="136">
        <v>8</v>
      </c>
      <c r="F77" s="76">
        <v>1</v>
      </c>
      <c r="G77" s="112">
        <f>G35</f>
        <v>0</v>
      </c>
      <c r="H77" s="113">
        <f>G35/E77</f>
        <v>0</v>
      </c>
      <c r="I77" s="77" t="e">
        <f>D77/G77*F77</f>
        <v>#DIV/0!</v>
      </c>
      <c r="J77" s="122">
        <v>1</v>
      </c>
      <c r="K77" s="21"/>
    </row>
    <row r="78" spans="2:18" x14ac:dyDescent="0.35">
      <c r="B78" s="121" t="s">
        <v>73</v>
      </c>
      <c r="C78" s="185"/>
      <c r="D78" s="111">
        <f t="shared" si="6"/>
        <v>0</v>
      </c>
      <c r="E78" s="136">
        <v>8</v>
      </c>
      <c r="F78" s="76">
        <v>1</v>
      </c>
      <c r="G78" s="112">
        <f>G36</f>
        <v>0</v>
      </c>
      <c r="H78" s="113">
        <f>G36/E78</f>
        <v>0</v>
      </c>
      <c r="I78" s="77" t="e">
        <f>D78/G78*F78</f>
        <v>#DIV/0!</v>
      </c>
      <c r="J78" s="122">
        <v>1</v>
      </c>
      <c r="K78" s="21"/>
    </row>
    <row r="79" spans="2:18" x14ac:dyDescent="0.35">
      <c r="B79" s="121" t="s">
        <v>74</v>
      </c>
      <c r="C79" s="185"/>
      <c r="D79" s="111">
        <f t="shared" si="6"/>
        <v>0</v>
      </c>
      <c r="E79" s="136">
        <v>8</v>
      </c>
      <c r="F79" s="76">
        <v>1</v>
      </c>
      <c r="G79" s="112">
        <f t="shared" si="11"/>
        <v>0</v>
      </c>
      <c r="H79" s="112">
        <f>G37</f>
        <v>0</v>
      </c>
      <c r="I79" s="114">
        <f>G79</f>
        <v>0</v>
      </c>
      <c r="J79" s="140" t="s">
        <v>122</v>
      </c>
      <c r="K79" s="231"/>
      <c r="L79" s="232"/>
      <c r="M79" s="232"/>
      <c r="N79" s="232"/>
      <c r="O79" s="232"/>
    </row>
    <row r="80" spans="2:18" x14ac:dyDescent="0.35">
      <c r="B80" s="121" t="s">
        <v>75</v>
      </c>
      <c r="C80" s="61"/>
      <c r="D80" s="111">
        <f t="shared" si="6"/>
        <v>0</v>
      </c>
      <c r="E80" s="136">
        <v>8</v>
      </c>
      <c r="F80" s="76">
        <v>2</v>
      </c>
      <c r="G80" s="112">
        <f t="shared" si="11"/>
        <v>0</v>
      </c>
      <c r="H80" s="113">
        <f>G38</f>
        <v>0</v>
      </c>
      <c r="I80" s="81" t="e">
        <f>C80/G80*F80</f>
        <v>#DIV/0!</v>
      </c>
      <c r="J80" s="140">
        <v>2</v>
      </c>
      <c r="K80" s="226"/>
      <c r="L80" s="227"/>
    </row>
    <row r="81" spans="2:12" ht="15" thickBot="1" x14ac:dyDescent="0.4">
      <c r="B81" s="110" t="s">
        <v>76</v>
      </c>
      <c r="C81" s="47"/>
      <c r="D81" s="136">
        <f t="shared" si="6"/>
        <v>0</v>
      </c>
      <c r="E81" s="111">
        <v>8</v>
      </c>
      <c r="F81" s="76">
        <v>1</v>
      </c>
      <c r="G81" s="112">
        <f t="shared" si="11"/>
        <v>0</v>
      </c>
      <c r="H81" s="113">
        <f>G39</f>
        <v>0</v>
      </c>
      <c r="I81" s="81" t="e">
        <f>C81/G81*F81</f>
        <v>#DIV/0!</v>
      </c>
      <c r="J81" s="109">
        <v>2</v>
      </c>
      <c r="K81" s="224"/>
      <c r="L81" s="225"/>
    </row>
    <row r="82" spans="2:12" x14ac:dyDescent="0.35">
      <c r="B82" s="98" t="s">
        <v>142</v>
      </c>
      <c r="C82" s="46"/>
      <c r="D82" s="106">
        <v>0</v>
      </c>
      <c r="E82" s="106">
        <v>8</v>
      </c>
      <c r="F82" s="100">
        <v>1</v>
      </c>
      <c r="G82" s="107">
        <f t="shared" si="11"/>
        <v>0</v>
      </c>
      <c r="H82" s="108">
        <f t="shared" ref="H82:H88" si="12">G40</f>
        <v>0</v>
      </c>
      <c r="I82" s="297" t="e">
        <f>C82/G82</f>
        <v>#DIV/0!</v>
      </c>
      <c r="J82" s="131" t="s">
        <v>150</v>
      </c>
    </row>
    <row r="83" spans="2:12" x14ac:dyDescent="0.35">
      <c r="B83" s="83" t="s">
        <v>143</v>
      </c>
      <c r="C83" s="61"/>
      <c r="D83" s="111">
        <v>0</v>
      </c>
      <c r="E83" s="111">
        <v>8</v>
      </c>
      <c r="F83" s="95">
        <v>1</v>
      </c>
      <c r="G83" s="112">
        <f t="shared" si="11"/>
        <v>0</v>
      </c>
      <c r="H83" s="194">
        <f t="shared" si="12"/>
        <v>0</v>
      </c>
      <c r="I83" s="81" t="e">
        <f>C83/G83</f>
        <v>#DIV/0!</v>
      </c>
      <c r="J83" s="140" t="s">
        <v>42</v>
      </c>
    </row>
    <row r="84" spans="2:12" x14ac:dyDescent="0.35">
      <c r="B84" s="83" t="s">
        <v>144</v>
      </c>
      <c r="C84" s="61"/>
      <c r="D84" s="111">
        <v>0</v>
      </c>
      <c r="E84" s="111">
        <v>8</v>
      </c>
      <c r="F84" s="95">
        <v>1</v>
      </c>
      <c r="G84" s="112">
        <f t="shared" si="11"/>
        <v>0</v>
      </c>
      <c r="H84" s="194">
        <f t="shared" si="12"/>
        <v>0</v>
      </c>
      <c r="I84" s="81"/>
      <c r="J84" s="109"/>
    </row>
    <row r="85" spans="2:12" x14ac:dyDescent="0.35">
      <c r="B85" s="83" t="s">
        <v>151</v>
      </c>
      <c r="C85" s="61"/>
      <c r="D85" s="111">
        <v>0</v>
      </c>
      <c r="E85" s="111">
        <v>8</v>
      </c>
      <c r="F85" s="95">
        <v>1</v>
      </c>
      <c r="G85" s="112">
        <f t="shared" si="11"/>
        <v>0</v>
      </c>
      <c r="H85" s="194">
        <f t="shared" si="12"/>
        <v>0</v>
      </c>
      <c r="I85" s="81" t="e">
        <f>C85/G85</f>
        <v>#DIV/0!</v>
      </c>
      <c r="J85" s="109" t="s">
        <v>110</v>
      </c>
    </row>
    <row r="86" spans="2:12" x14ac:dyDescent="0.35">
      <c r="B86" s="83" t="s">
        <v>147</v>
      </c>
      <c r="C86" s="61"/>
      <c r="D86" s="111">
        <v>0</v>
      </c>
      <c r="E86" s="111">
        <v>8</v>
      </c>
      <c r="F86" s="95">
        <v>1</v>
      </c>
      <c r="G86" s="112">
        <f>E86*H86</f>
        <v>0</v>
      </c>
      <c r="H86" s="194">
        <f t="shared" si="12"/>
        <v>0</v>
      </c>
      <c r="I86" s="81" t="e">
        <f>C86/G86</f>
        <v>#DIV/0!</v>
      </c>
      <c r="J86" s="109">
        <v>1</v>
      </c>
    </row>
    <row r="87" spans="2:12" x14ac:dyDescent="0.35">
      <c r="B87" s="83" t="str">
        <f>B45</f>
        <v>Grūdų traiškytuvas su granuliavimu</v>
      </c>
      <c r="C87" s="61"/>
      <c r="D87" s="111">
        <v>0</v>
      </c>
      <c r="E87" s="111">
        <v>8</v>
      </c>
      <c r="F87" s="95">
        <v>1</v>
      </c>
      <c r="G87" s="112">
        <f>E87*H87</f>
        <v>0</v>
      </c>
      <c r="H87" s="194">
        <f t="shared" si="12"/>
        <v>0</v>
      </c>
      <c r="I87" s="81" t="e">
        <f>C87/G87</f>
        <v>#DIV/0!</v>
      </c>
      <c r="J87" s="109">
        <v>1</v>
      </c>
    </row>
    <row r="88" spans="2:12" ht="15" thickBot="1" x14ac:dyDescent="0.4">
      <c r="B88" s="86" t="s">
        <v>149</v>
      </c>
      <c r="C88" s="56"/>
      <c r="D88" s="124">
        <v>0</v>
      </c>
      <c r="E88" s="124">
        <v>8</v>
      </c>
      <c r="F88" s="88">
        <v>1</v>
      </c>
      <c r="G88" s="125">
        <f t="shared" si="11"/>
        <v>0</v>
      </c>
      <c r="H88" s="195">
        <f t="shared" si="12"/>
        <v>0</v>
      </c>
      <c r="I88" s="89" t="e">
        <f>C88/G88</f>
        <v>#DIV/0!</v>
      </c>
      <c r="J88" s="135" t="s">
        <v>42</v>
      </c>
    </row>
    <row r="89" spans="2:12" x14ac:dyDescent="0.35">
      <c r="C89" s="21"/>
      <c r="D89" s="21"/>
      <c r="E89" s="21"/>
      <c r="F89" s="4"/>
      <c r="G89" s="186"/>
      <c r="H89" s="151"/>
      <c r="I89" s="21"/>
    </row>
    <row r="90" spans="2:12" ht="19" thickBot="1" x14ac:dyDescent="0.5">
      <c r="B90" s="213" t="s">
        <v>25</v>
      </c>
      <c r="C90" s="213"/>
      <c r="D90" s="213"/>
      <c r="E90" s="1"/>
    </row>
    <row r="91" spans="2:12" ht="31" customHeight="1" thickBot="1" x14ac:dyDescent="0.4">
      <c r="B91" s="216" t="s">
        <v>53</v>
      </c>
      <c r="C91" s="220" t="s">
        <v>16</v>
      </c>
      <c r="D91" s="220" t="s">
        <v>126</v>
      </c>
      <c r="E91" s="220" t="s">
        <v>4</v>
      </c>
      <c r="F91" s="239" t="s">
        <v>123</v>
      </c>
      <c r="G91" s="241" t="s">
        <v>124</v>
      </c>
      <c r="H91" s="242"/>
      <c r="I91" s="49"/>
    </row>
    <row r="92" spans="2:12" ht="15" thickBot="1" x14ac:dyDescent="0.4">
      <c r="B92" s="217"/>
      <c r="C92" s="221"/>
      <c r="D92" s="221"/>
      <c r="E92" s="221"/>
      <c r="F92" s="240"/>
      <c r="G92" s="141" t="s">
        <v>17</v>
      </c>
      <c r="H92" s="142" t="s">
        <v>18</v>
      </c>
      <c r="I92" s="2"/>
      <c r="J92" s="2"/>
      <c r="K92" s="2"/>
    </row>
    <row r="93" spans="2:12" x14ac:dyDescent="0.35">
      <c r="B93" s="69" t="s">
        <v>93</v>
      </c>
      <c r="C93" s="70" t="s">
        <v>94</v>
      </c>
      <c r="D93" s="76">
        <f>D7</f>
        <v>0</v>
      </c>
      <c r="E93" s="8"/>
      <c r="F93" s="143"/>
      <c r="G93" s="144">
        <f>D93*1.2*0.745699872</f>
        <v>0</v>
      </c>
      <c r="H93" s="145">
        <f>D93*1.5*0.745699872</f>
        <v>0</v>
      </c>
      <c r="I93" s="233"/>
      <c r="J93" s="234"/>
      <c r="K93" s="234"/>
      <c r="L93" s="234"/>
    </row>
    <row r="94" spans="2:12" x14ac:dyDescent="0.35">
      <c r="B94" s="110" t="s">
        <v>129</v>
      </c>
      <c r="C94" s="80" t="str">
        <f t="shared" ref="C94:E108" si="13">C9</f>
        <v>Sijų plotis, m</v>
      </c>
      <c r="D94" s="95">
        <f t="shared" si="13"/>
        <v>0</v>
      </c>
      <c r="E94" s="95">
        <f t="shared" si="13"/>
        <v>12</v>
      </c>
      <c r="F94" s="148">
        <v>1</v>
      </c>
      <c r="G94" s="147">
        <f>D94*F94*5*0.745699872</f>
        <v>0</v>
      </c>
      <c r="H94" s="139">
        <f>D94*F94*6*0.745699872</f>
        <v>0</v>
      </c>
      <c r="I94" s="4"/>
      <c r="K94" s="4"/>
    </row>
    <row r="95" spans="2:12" x14ac:dyDescent="0.35">
      <c r="B95" s="110" t="s">
        <v>21</v>
      </c>
      <c r="C95" s="80" t="str">
        <f t="shared" si="13"/>
        <v>Sėjamosios plotis, m</v>
      </c>
      <c r="D95" s="95">
        <f t="shared" si="13"/>
        <v>0</v>
      </c>
      <c r="E95" s="95">
        <f t="shared" si="13"/>
        <v>10</v>
      </c>
      <c r="F95" s="48">
        <v>1.2</v>
      </c>
      <c r="G95" s="149">
        <f>D95*F95*26*0.745699872</f>
        <v>0</v>
      </c>
      <c r="H95" s="150">
        <f>D95*F95*35*0.745699872</f>
        <v>0</v>
      </c>
      <c r="I95" s="4"/>
      <c r="J95" s="4"/>
      <c r="K95" s="4"/>
    </row>
    <row r="96" spans="2:12" x14ac:dyDescent="0.35">
      <c r="B96" s="110" t="s">
        <v>30</v>
      </c>
      <c r="C96" s="80" t="str">
        <f t="shared" si="13"/>
        <v>Arimo plotis, m</v>
      </c>
      <c r="D96" s="95">
        <f t="shared" si="13"/>
        <v>0</v>
      </c>
      <c r="E96" s="95">
        <f t="shared" si="13"/>
        <v>8</v>
      </c>
      <c r="F96" s="48">
        <v>1.2</v>
      </c>
      <c r="G96" s="149">
        <f>D96*F96*20*2.5*0.745699872</f>
        <v>0</v>
      </c>
      <c r="H96" s="150">
        <f>D96*F96*22*2.5*0.745699872</f>
        <v>0</v>
      </c>
      <c r="I96" s="151"/>
      <c r="J96" s="4"/>
      <c r="K96" s="4"/>
    </row>
    <row r="97" spans="2:17" x14ac:dyDescent="0.35">
      <c r="B97" s="84" t="s">
        <v>96</v>
      </c>
      <c r="C97" s="80" t="str">
        <f t="shared" si="13"/>
        <v>Darbinis plotis, m</v>
      </c>
      <c r="D97" s="95">
        <f t="shared" si="13"/>
        <v>0</v>
      </c>
      <c r="E97" s="95">
        <f t="shared" si="13"/>
        <v>10</v>
      </c>
      <c r="F97" s="48">
        <v>1.2</v>
      </c>
      <c r="G97" s="149">
        <f>D97*F97*30*0.745699872</f>
        <v>0</v>
      </c>
      <c r="H97" s="150">
        <f>D97*F97*40*0.745699872</f>
        <v>0</v>
      </c>
      <c r="I97" s="243"/>
      <c r="J97" s="244"/>
      <c r="K97" s="4"/>
    </row>
    <row r="98" spans="2:17" x14ac:dyDescent="0.35">
      <c r="B98" s="84" t="s">
        <v>97</v>
      </c>
      <c r="C98" s="80" t="str">
        <f t="shared" si="13"/>
        <v>Darbinis plotis, m</v>
      </c>
      <c r="D98" s="95">
        <f t="shared" si="13"/>
        <v>0</v>
      </c>
      <c r="E98" s="95">
        <f t="shared" si="13"/>
        <v>10</v>
      </c>
      <c r="F98" s="48">
        <v>1.3</v>
      </c>
      <c r="G98" s="149">
        <f>D98*F98*37*0.745699872</f>
        <v>0</v>
      </c>
      <c r="H98" s="150">
        <f>D98*F98*50*0.745699872</f>
        <v>0</v>
      </c>
      <c r="I98" s="4"/>
      <c r="J98" s="4"/>
      <c r="K98" s="4"/>
    </row>
    <row r="99" spans="2:17" x14ac:dyDescent="0.35">
      <c r="B99" s="146" t="s">
        <v>128</v>
      </c>
      <c r="C99" s="85" t="str">
        <f t="shared" si="13"/>
        <v>Keliamoji galia, kg</v>
      </c>
      <c r="D99" s="95">
        <f t="shared" si="13"/>
        <v>0</v>
      </c>
      <c r="E99" s="95">
        <f t="shared" si="13"/>
        <v>0</v>
      </c>
      <c r="F99" s="148">
        <v>1</v>
      </c>
      <c r="G99" s="245"/>
      <c r="H99" s="246"/>
      <c r="I99" s="49"/>
      <c r="J99" s="4"/>
      <c r="K99" s="4"/>
    </row>
    <row r="100" spans="2:17" x14ac:dyDescent="0.35">
      <c r="B100" s="110" t="s">
        <v>34</v>
      </c>
      <c r="C100" s="80" t="str">
        <f t="shared" si="13"/>
        <v>Trąšadėžės tūris, m3</v>
      </c>
      <c r="D100" s="95">
        <f t="shared" si="13"/>
        <v>0</v>
      </c>
      <c r="E100" s="95">
        <f t="shared" si="13"/>
        <v>12</v>
      </c>
      <c r="F100" s="148">
        <v>1</v>
      </c>
      <c r="G100" s="247" t="s">
        <v>47</v>
      </c>
      <c r="H100" s="248"/>
      <c r="I100" s="39"/>
      <c r="J100" s="4"/>
      <c r="K100" s="4"/>
    </row>
    <row r="101" spans="2:17" x14ac:dyDescent="0.35">
      <c r="B101" s="84" t="s">
        <v>31</v>
      </c>
      <c r="C101" s="80" t="str">
        <f t="shared" si="13"/>
        <v xml:space="preserve">Keliamoji galia, t </v>
      </c>
      <c r="D101" s="95">
        <f t="shared" si="13"/>
        <v>0</v>
      </c>
      <c r="E101" s="95">
        <f t="shared" si="13"/>
        <v>25</v>
      </c>
      <c r="F101" s="148">
        <v>1</v>
      </c>
      <c r="G101" s="149">
        <f>D101*F101*10*0.745699872</f>
        <v>0</v>
      </c>
      <c r="H101" s="150">
        <f>D101*F101*12*0.745699872</f>
        <v>0</v>
      </c>
      <c r="I101" s="4"/>
      <c r="J101" s="38"/>
      <c r="K101" s="4"/>
    </row>
    <row r="102" spans="2:17" x14ac:dyDescent="0.35">
      <c r="B102" s="110" t="s">
        <v>32</v>
      </c>
      <c r="C102" s="80" t="str">
        <f t="shared" si="13"/>
        <v>Darbinis plotis, m</v>
      </c>
      <c r="D102" s="95">
        <f t="shared" si="13"/>
        <v>0</v>
      </c>
      <c r="E102" s="95">
        <f t="shared" si="13"/>
        <v>12</v>
      </c>
      <c r="F102" s="48">
        <v>1.3</v>
      </c>
      <c r="G102" s="149">
        <f>D102*F102*30*0.745699872</f>
        <v>0</v>
      </c>
      <c r="H102" s="150">
        <f>D102*F102*40*0.745699872</f>
        <v>0</v>
      </c>
      <c r="I102" s="4"/>
      <c r="J102" s="4"/>
      <c r="K102" s="4"/>
    </row>
    <row r="103" spans="2:17" ht="15" thickBot="1" x14ac:dyDescent="0.4">
      <c r="B103" s="152" t="s">
        <v>33</v>
      </c>
      <c r="C103" s="80" t="str">
        <f t="shared" si="13"/>
        <v>Pasėlių plotas, ha+Sąlyg.gyv.sk.</v>
      </c>
      <c r="D103" s="88">
        <f t="shared" si="13"/>
        <v>0</v>
      </c>
      <c r="E103" s="88">
        <f t="shared" si="13"/>
        <v>0</v>
      </c>
      <c r="F103" s="153"/>
      <c r="G103" s="237" t="s">
        <v>55</v>
      </c>
      <c r="H103" s="238"/>
      <c r="I103" s="4"/>
      <c r="J103" s="4"/>
      <c r="K103" s="4"/>
    </row>
    <row r="104" spans="2:17" x14ac:dyDescent="0.35">
      <c r="B104" s="154" t="s">
        <v>57</v>
      </c>
      <c r="C104" s="99" t="str">
        <f t="shared" si="13"/>
        <v>Darbinis plotis, m</v>
      </c>
      <c r="D104" s="100">
        <f t="shared" si="13"/>
        <v>0</v>
      </c>
      <c r="E104" s="100">
        <f t="shared" si="13"/>
        <v>2</v>
      </c>
      <c r="F104" s="155">
        <v>1</v>
      </c>
      <c r="G104" s="144">
        <f>D104*F104*25*0.745699872</f>
        <v>0</v>
      </c>
      <c r="H104" s="156">
        <f>D104*F104*30*0.745699872</f>
        <v>0</v>
      </c>
      <c r="I104" s="250"/>
      <c r="J104" s="250"/>
      <c r="K104" s="250"/>
      <c r="L104" s="250"/>
    </row>
    <row r="105" spans="2:17" ht="15.5" x14ac:dyDescent="0.35">
      <c r="B105" s="84" t="s">
        <v>58</v>
      </c>
      <c r="C105" s="80" t="str">
        <f t="shared" si="13"/>
        <v>Rinktuvo darbinis plotis, m</v>
      </c>
      <c r="D105" s="95">
        <f t="shared" si="13"/>
        <v>0</v>
      </c>
      <c r="E105" s="95">
        <f t="shared" si="13"/>
        <v>10</v>
      </c>
      <c r="F105" s="48">
        <v>2</v>
      </c>
      <c r="G105" s="149">
        <f>D105*F105*45*0.745699872</f>
        <v>0</v>
      </c>
      <c r="H105" s="157">
        <f>D105*F105*60*0.745699872</f>
        <v>0</v>
      </c>
      <c r="I105" s="158"/>
      <c r="J105" s="39"/>
      <c r="K105" s="39"/>
      <c r="L105" s="39"/>
      <c r="M105" s="39"/>
      <c r="N105" s="39"/>
      <c r="O105" s="39"/>
      <c r="P105" s="39"/>
      <c r="Q105" s="39"/>
    </row>
    <row r="106" spans="2:17" x14ac:dyDescent="0.35">
      <c r="B106" s="84" t="s">
        <v>59</v>
      </c>
      <c r="C106" s="80" t="str">
        <f t="shared" si="13"/>
        <v>Darbinis plotis, m</v>
      </c>
      <c r="D106" s="95">
        <f t="shared" si="13"/>
        <v>0</v>
      </c>
      <c r="E106" s="95">
        <f t="shared" si="13"/>
        <v>10</v>
      </c>
      <c r="F106" s="159">
        <v>1</v>
      </c>
      <c r="G106" s="160">
        <f>D106*F106*7*0.745699872</f>
        <v>0</v>
      </c>
      <c r="H106" s="161">
        <f>D106*F106*11*0.745699872</f>
        <v>0</v>
      </c>
      <c r="I106" s="4"/>
      <c r="J106" s="4"/>
      <c r="K106" s="4"/>
    </row>
    <row r="107" spans="2:17" x14ac:dyDescent="0.35">
      <c r="B107" s="84" t="s">
        <v>60</v>
      </c>
      <c r="C107" s="80" t="str">
        <f t="shared" si="13"/>
        <v>Darbinis plotis, m</v>
      </c>
      <c r="D107" s="95">
        <f t="shared" si="13"/>
        <v>0</v>
      </c>
      <c r="E107" s="95">
        <f t="shared" si="13"/>
        <v>10</v>
      </c>
      <c r="F107" s="159">
        <v>1</v>
      </c>
      <c r="G107" s="160">
        <f>D107*F107*7*0.745699872</f>
        <v>0</v>
      </c>
      <c r="H107" s="161">
        <f>D107*F107*11*0.745699872</f>
        <v>0</v>
      </c>
      <c r="I107" s="4"/>
      <c r="J107" s="4"/>
      <c r="K107" s="4"/>
    </row>
    <row r="108" spans="2:17" x14ac:dyDescent="0.35">
      <c r="B108" s="84" t="s">
        <v>61</v>
      </c>
      <c r="C108" s="80" t="str">
        <f t="shared" si="13"/>
        <v>Pasėlių plotas, ha</v>
      </c>
      <c r="D108" s="95">
        <f t="shared" si="13"/>
        <v>0</v>
      </c>
      <c r="E108" s="95">
        <f t="shared" si="13"/>
        <v>0</v>
      </c>
      <c r="F108" s="159">
        <v>1</v>
      </c>
      <c r="G108" s="162">
        <f>40*0.745699872</f>
        <v>29.827994879999999</v>
      </c>
      <c r="H108" s="163">
        <f>55*0.745699872</f>
        <v>41.013492960000001</v>
      </c>
      <c r="I108" s="4"/>
      <c r="J108" s="4"/>
      <c r="K108" s="4"/>
    </row>
    <row r="109" spans="2:17" x14ac:dyDescent="0.35">
      <c r="B109" s="84" t="s">
        <v>62</v>
      </c>
      <c r="C109" s="80" t="str">
        <f t="shared" ref="C109:E124" si="14">C24</f>
        <v>Darbinis plotis, m</v>
      </c>
      <c r="D109" s="95">
        <f t="shared" si="14"/>
        <v>0</v>
      </c>
      <c r="E109" s="95">
        <f>E24</f>
        <v>7</v>
      </c>
      <c r="F109" s="48">
        <v>1</v>
      </c>
      <c r="G109" s="160">
        <f>D109*F109*16*0.745699872</f>
        <v>0</v>
      </c>
      <c r="H109" s="161">
        <f>D109*F109*20*0.745699872</f>
        <v>0</v>
      </c>
      <c r="I109" s="251"/>
      <c r="J109" s="250"/>
      <c r="K109" s="4"/>
    </row>
    <row r="110" spans="2:17" x14ac:dyDescent="0.35">
      <c r="B110" s="84" t="s">
        <v>63</v>
      </c>
      <c r="C110" s="80" t="str">
        <f t="shared" si="14"/>
        <v>Vagų skaičius, vnt</v>
      </c>
      <c r="D110" s="95">
        <f t="shared" si="14"/>
        <v>0</v>
      </c>
      <c r="E110" s="95">
        <f t="shared" si="14"/>
        <v>4</v>
      </c>
      <c r="F110" s="159">
        <v>1</v>
      </c>
      <c r="G110" s="160">
        <f>D110*F110*25*0.745699872</f>
        <v>0</v>
      </c>
      <c r="H110" s="161">
        <f>D110*F110*35*0.745699872</f>
        <v>0</v>
      </c>
      <c r="I110" s="4"/>
      <c r="J110" s="4"/>
      <c r="K110" s="4"/>
    </row>
    <row r="111" spans="2:17" x14ac:dyDescent="0.35">
      <c r="B111" s="84" t="s">
        <v>64</v>
      </c>
      <c r="C111" s="80" t="str">
        <f t="shared" si="14"/>
        <v>Vagų skaičius, vnt</v>
      </c>
      <c r="D111" s="95">
        <f t="shared" si="14"/>
        <v>0</v>
      </c>
      <c r="E111" s="95">
        <f t="shared" si="14"/>
        <v>2</v>
      </c>
      <c r="F111" s="64">
        <v>1</v>
      </c>
      <c r="G111" s="160">
        <f>D111*F111*70*0.745699872</f>
        <v>0</v>
      </c>
      <c r="H111" s="161">
        <f>D111*F111*80*0.745699872</f>
        <v>0</v>
      </c>
      <c r="I111" s="251"/>
      <c r="J111" s="250"/>
      <c r="K111" s="4"/>
    </row>
    <row r="112" spans="2:17" x14ac:dyDescent="0.35">
      <c r="B112" s="84" t="s">
        <v>91</v>
      </c>
      <c r="C112" s="80" t="str">
        <f t="shared" si="14"/>
        <v>Vagų skaičius, vnt</v>
      </c>
      <c r="D112" s="95">
        <f t="shared" si="14"/>
        <v>0</v>
      </c>
      <c r="E112" s="95">
        <f t="shared" si="14"/>
        <v>3</v>
      </c>
      <c r="F112" s="164">
        <v>1</v>
      </c>
      <c r="G112" s="160">
        <f>D112*F112*25*0.745699872</f>
        <v>0</v>
      </c>
      <c r="H112" s="161">
        <f>D112*F112*40*0.745699872</f>
        <v>0</v>
      </c>
      <c r="I112" s="4"/>
      <c r="J112" s="4"/>
      <c r="K112" s="4"/>
    </row>
    <row r="113" spans="2:11" x14ac:dyDescent="0.35">
      <c r="B113" s="84" t="s">
        <v>65</v>
      </c>
      <c r="C113" s="80" t="str">
        <f t="shared" si="14"/>
        <v>Kratytuvo tūris, m3</v>
      </c>
      <c r="D113" s="95">
        <f>D28</f>
        <v>0</v>
      </c>
      <c r="E113" s="95">
        <f t="shared" si="14"/>
        <v>4</v>
      </c>
      <c r="F113" s="164">
        <v>1</v>
      </c>
      <c r="G113" s="160">
        <f>D113*F113*12*0.745699872</f>
        <v>0</v>
      </c>
      <c r="H113" s="161">
        <f>D113*F113*14*0.745699872</f>
        <v>0</v>
      </c>
      <c r="I113" s="4"/>
      <c r="J113" s="4"/>
      <c r="K113" s="4"/>
    </row>
    <row r="114" spans="2:11" ht="15" thickBot="1" x14ac:dyDescent="0.4">
      <c r="B114" s="152" t="s">
        <v>66</v>
      </c>
      <c r="C114" s="87" t="str">
        <f t="shared" si="14"/>
        <v>Dalytuvo tūris, m3</v>
      </c>
      <c r="D114" s="88">
        <f>D29</f>
        <v>0</v>
      </c>
      <c r="E114" s="88">
        <f t="shared" si="14"/>
        <v>1</v>
      </c>
      <c r="F114" s="165">
        <v>1</v>
      </c>
      <c r="G114" s="166">
        <f>D114*F114*7*0.745699872</f>
        <v>0</v>
      </c>
      <c r="H114" s="167">
        <f>D114*F114*8.5*0.745699872</f>
        <v>0</v>
      </c>
      <c r="I114" s="251"/>
      <c r="J114" s="250"/>
      <c r="K114" s="4"/>
    </row>
    <row r="115" spans="2:11" x14ac:dyDescent="0.35">
      <c r="B115" s="74" t="s">
        <v>67</v>
      </c>
      <c r="C115" s="75" t="str">
        <f>C30</f>
        <v>Talpa, t</v>
      </c>
      <c r="D115" s="76">
        <f t="shared" si="14"/>
        <v>0</v>
      </c>
      <c r="E115" s="76">
        <f t="shared" si="14"/>
        <v>5</v>
      </c>
      <c r="F115" s="48">
        <v>1</v>
      </c>
      <c r="G115" s="168">
        <f>D115*9*0.745699872*F115</f>
        <v>0</v>
      </c>
      <c r="H115" s="169">
        <f>D115*11*0.745699872*F115</f>
        <v>0</v>
      </c>
      <c r="I115" s="4"/>
      <c r="J115" s="4"/>
      <c r="K115" s="4"/>
    </row>
    <row r="116" spans="2:11" x14ac:dyDescent="0.35">
      <c r="B116" s="84" t="s">
        <v>68</v>
      </c>
      <c r="C116" s="80" t="str">
        <f t="shared" si="14"/>
        <v>Priekabos plotas, m2</v>
      </c>
      <c r="D116" s="95">
        <f t="shared" si="14"/>
        <v>0</v>
      </c>
      <c r="E116" s="95">
        <f t="shared" si="14"/>
        <v>40</v>
      </c>
      <c r="F116" s="164">
        <v>1</v>
      </c>
      <c r="G116" s="162">
        <f>D116*15*0.745699872</f>
        <v>0</v>
      </c>
      <c r="H116" s="161">
        <f>D116*20*0.745699872</f>
        <v>0</v>
      </c>
      <c r="I116" s="4"/>
      <c r="J116" s="4"/>
      <c r="K116" s="4"/>
    </row>
    <row r="117" spans="2:11" x14ac:dyDescent="0.35">
      <c r="B117" s="84" t="s">
        <v>69</v>
      </c>
      <c r="C117" s="80" t="str">
        <f t="shared" si="14"/>
        <v>Pasėlių plotas, ha</v>
      </c>
      <c r="D117" s="95">
        <f t="shared" si="14"/>
        <v>0</v>
      </c>
      <c r="E117" s="13"/>
      <c r="F117" s="164">
        <v>1</v>
      </c>
      <c r="G117" s="162">
        <f>D117*0.36</f>
        <v>0</v>
      </c>
      <c r="H117" s="161">
        <f>D117*0.41</f>
        <v>0</v>
      </c>
      <c r="I117" s="4"/>
      <c r="J117" s="4"/>
      <c r="K117" s="4"/>
    </row>
    <row r="118" spans="2:11" x14ac:dyDescent="0.35">
      <c r="B118" s="84" t="s">
        <v>70</v>
      </c>
      <c r="C118" s="80" t="str">
        <f t="shared" si="14"/>
        <v>Priekabos tūris, m3</v>
      </c>
      <c r="D118" s="95">
        <f t="shared" si="14"/>
        <v>0</v>
      </c>
      <c r="E118" s="95">
        <f t="shared" si="14"/>
        <v>6</v>
      </c>
      <c r="F118" s="164">
        <v>1</v>
      </c>
      <c r="G118" s="160">
        <f>D118*F118*2.2*0.745699872</f>
        <v>0</v>
      </c>
      <c r="H118" s="161">
        <f>D118*F118*2.5*0.745699872</f>
        <v>0</v>
      </c>
      <c r="I118" s="4"/>
      <c r="J118" s="4"/>
      <c r="K118" s="4"/>
    </row>
    <row r="119" spans="2:11" x14ac:dyDescent="0.35">
      <c r="B119" s="84" t="s">
        <v>71</v>
      </c>
      <c r="C119" s="80" t="str">
        <f t="shared" si="14"/>
        <v>Darbinis plotis, m</v>
      </c>
      <c r="D119" s="95">
        <f t="shared" si="14"/>
        <v>0</v>
      </c>
      <c r="E119" s="95">
        <f t="shared" si="14"/>
        <v>2</v>
      </c>
      <c r="F119" s="164">
        <v>1</v>
      </c>
      <c r="G119" s="162">
        <f>D119*60*0.745699872</f>
        <v>0</v>
      </c>
      <c r="H119" s="161">
        <f>D119*75*0.745699872</f>
        <v>0</v>
      </c>
      <c r="I119" s="243"/>
      <c r="J119" s="244"/>
      <c r="K119" s="244"/>
    </row>
    <row r="120" spans="2:11" x14ac:dyDescent="0.35">
      <c r="B120" s="84" t="s">
        <v>72</v>
      </c>
      <c r="C120" s="80" t="s">
        <v>125</v>
      </c>
      <c r="D120" s="116">
        <f>G35</f>
        <v>0</v>
      </c>
      <c r="E120" s="95"/>
      <c r="F120" s="164">
        <v>1</v>
      </c>
      <c r="G120" s="178">
        <f>H77*0.9</f>
        <v>0</v>
      </c>
      <c r="H120" s="179">
        <f>H77*1.1</f>
        <v>0</v>
      </c>
      <c r="I120" s="243"/>
      <c r="J120" s="244"/>
      <c r="K120" s="244"/>
    </row>
    <row r="121" spans="2:11" x14ac:dyDescent="0.35">
      <c r="B121" s="84" t="s">
        <v>73</v>
      </c>
      <c r="C121" s="80" t="s">
        <v>125</v>
      </c>
      <c r="D121" s="116">
        <f>G36</f>
        <v>0</v>
      </c>
      <c r="E121" s="95"/>
      <c r="F121" s="164">
        <v>1</v>
      </c>
      <c r="G121" s="178">
        <f>H78*0.9</f>
        <v>0</v>
      </c>
      <c r="H121" s="179">
        <f>H78*1.1</f>
        <v>0</v>
      </c>
      <c r="I121" s="243"/>
      <c r="J121" s="244"/>
      <c r="K121" s="244"/>
    </row>
    <row r="122" spans="2:11" x14ac:dyDescent="0.35">
      <c r="B122" s="84" t="s">
        <v>74</v>
      </c>
      <c r="C122" s="80" t="str">
        <f t="shared" si="14"/>
        <v>Sausos medienos diametras, mm</v>
      </c>
      <c r="D122" s="95">
        <f t="shared" si="14"/>
        <v>0</v>
      </c>
      <c r="E122" s="95">
        <f t="shared" si="14"/>
        <v>1</v>
      </c>
      <c r="F122" s="164">
        <v>1</v>
      </c>
      <c r="G122" s="162">
        <f>90*0.745699872</f>
        <v>67.112988479999999</v>
      </c>
      <c r="H122" s="161">
        <f>130*0.745699872</f>
        <v>96.940983360000004</v>
      </c>
      <c r="I122" s="4"/>
      <c r="J122" s="244"/>
      <c r="K122" s="244"/>
    </row>
    <row r="123" spans="2:11" x14ac:dyDescent="0.35">
      <c r="B123" s="84" t="s">
        <v>75</v>
      </c>
      <c r="C123" s="80" t="str">
        <f t="shared" si="14"/>
        <v>Darbinis plotis, m</v>
      </c>
      <c r="D123" s="95">
        <f t="shared" si="14"/>
        <v>0</v>
      </c>
      <c r="E123" s="95">
        <f t="shared" si="14"/>
        <v>3</v>
      </c>
      <c r="F123" s="164">
        <v>1</v>
      </c>
      <c r="G123" s="162">
        <f>D123*25*0.745699872</f>
        <v>0</v>
      </c>
      <c r="H123" s="161">
        <f>D123*35*0.745699872</f>
        <v>0</v>
      </c>
      <c r="I123" s="4"/>
      <c r="J123" s="4"/>
      <c r="K123" s="4"/>
    </row>
    <row r="124" spans="2:11" ht="15" thickBot="1" x14ac:dyDescent="0.4">
      <c r="B124" s="84" t="s">
        <v>76</v>
      </c>
      <c r="C124" s="80" t="str">
        <f t="shared" si="14"/>
        <v>Eilių skaičius, vnt.</v>
      </c>
      <c r="D124" s="95">
        <f t="shared" si="14"/>
        <v>0</v>
      </c>
      <c r="E124" s="95">
        <f t="shared" si="14"/>
        <v>1.5</v>
      </c>
      <c r="F124" s="164">
        <v>1</v>
      </c>
      <c r="G124" s="162">
        <f>D124*50*0.745699872</f>
        <v>0</v>
      </c>
      <c r="H124" s="161">
        <f>D124*80*0.745699872</f>
        <v>0</v>
      </c>
      <c r="J124" s="4"/>
      <c r="K124" s="4"/>
    </row>
    <row r="125" spans="2:11" x14ac:dyDescent="0.35">
      <c r="B125" s="98" t="s">
        <v>142</v>
      </c>
      <c r="C125" s="99" t="s">
        <v>15</v>
      </c>
      <c r="D125" s="100">
        <v>0</v>
      </c>
      <c r="E125" s="100">
        <v>10</v>
      </c>
      <c r="F125" s="196">
        <v>1</v>
      </c>
      <c r="G125" s="168">
        <v>117.59686981440001</v>
      </c>
      <c r="H125" s="197">
        <v>142.35410556479999</v>
      </c>
      <c r="I125" s="4"/>
      <c r="K125" s="4"/>
    </row>
    <row r="126" spans="2:11" x14ac:dyDescent="0.35">
      <c r="B126" s="83" t="s">
        <v>143</v>
      </c>
      <c r="C126" s="80" t="s">
        <v>15</v>
      </c>
      <c r="D126" s="95">
        <v>0</v>
      </c>
      <c r="E126" s="95">
        <v>8</v>
      </c>
      <c r="F126" s="64">
        <v>1</v>
      </c>
      <c r="G126" s="162">
        <v>62.638789248000002</v>
      </c>
      <c r="H126" s="161">
        <v>89.483984640000003</v>
      </c>
      <c r="I126" s="4"/>
      <c r="K126" s="4"/>
    </row>
    <row r="127" spans="2:11" x14ac:dyDescent="0.35">
      <c r="B127" s="83" t="s">
        <v>144</v>
      </c>
      <c r="C127" s="80" t="s">
        <v>15</v>
      </c>
      <c r="D127" s="95">
        <v>0</v>
      </c>
      <c r="E127" s="95">
        <v>4</v>
      </c>
      <c r="F127" s="159">
        <v>1</v>
      </c>
      <c r="G127" s="162">
        <v>56.673190271999999</v>
      </c>
      <c r="H127" s="161">
        <v>68.604388224000004</v>
      </c>
      <c r="I127" s="4"/>
      <c r="K127" s="4"/>
    </row>
    <row r="128" spans="2:11" x14ac:dyDescent="0.35">
      <c r="B128" s="83" t="s">
        <v>145</v>
      </c>
      <c r="C128" s="80" t="s">
        <v>146</v>
      </c>
      <c r="D128" s="95">
        <v>0</v>
      </c>
      <c r="E128" s="95">
        <v>30</v>
      </c>
      <c r="F128" s="159">
        <v>1</v>
      </c>
      <c r="G128" s="160"/>
      <c r="H128" s="163"/>
      <c r="I128" s="4"/>
      <c r="K128" s="4"/>
    </row>
    <row r="129" spans="2:11" x14ac:dyDescent="0.35">
      <c r="B129" s="83" t="s">
        <v>147</v>
      </c>
      <c r="C129" s="80" t="s">
        <v>125</v>
      </c>
      <c r="D129" s="95">
        <v>0</v>
      </c>
      <c r="E129" s="95">
        <v>1</v>
      </c>
      <c r="F129" s="159">
        <v>1</v>
      </c>
      <c r="G129" s="162">
        <v>70.841487839999999</v>
      </c>
      <c r="H129" s="161">
        <v>104.39798207999999</v>
      </c>
      <c r="I129" s="4"/>
      <c r="K129" s="4"/>
    </row>
    <row r="130" spans="2:11" x14ac:dyDescent="0.35">
      <c r="B130" s="83" t="s">
        <v>148</v>
      </c>
      <c r="C130" s="80" t="s">
        <v>125</v>
      </c>
      <c r="D130" s="95">
        <v>0</v>
      </c>
      <c r="E130" s="95">
        <v>1</v>
      </c>
      <c r="F130" s="159">
        <v>1</v>
      </c>
      <c r="G130" s="162"/>
      <c r="H130" s="161"/>
      <c r="I130" s="4"/>
      <c r="K130" s="4"/>
    </row>
    <row r="131" spans="2:11" ht="15" thickBot="1" x14ac:dyDescent="0.4">
      <c r="B131" s="86" t="s">
        <v>149</v>
      </c>
      <c r="C131" s="87" t="s">
        <v>15</v>
      </c>
      <c r="D131" s="88">
        <v>0</v>
      </c>
      <c r="E131" s="88">
        <v>7</v>
      </c>
      <c r="F131" s="198">
        <v>1</v>
      </c>
      <c r="G131" s="199">
        <v>201.33896544000001</v>
      </c>
      <c r="H131" s="167">
        <v>259.50355545600002</v>
      </c>
      <c r="I131" s="4"/>
      <c r="K131" s="4"/>
    </row>
    <row r="132" spans="2:11" ht="15" thickBot="1" x14ac:dyDescent="0.4">
      <c r="C132" s="187"/>
      <c r="D132" s="4"/>
      <c r="E132" s="4"/>
      <c r="F132" s="4"/>
      <c r="G132" s="4"/>
      <c r="H132" s="4"/>
      <c r="I132" s="4"/>
      <c r="K132" s="4"/>
    </row>
    <row r="133" spans="2:11" ht="15" thickBot="1" x14ac:dyDescent="0.4">
      <c r="B133" s="33" t="s">
        <v>45</v>
      </c>
      <c r="C133" s="36"/>
    </row>
    <row r="134" spans="2:11" ht="15" thickBot="1" x14ac:dyDescent="0.4">
      <c r="B134" s="34" t="s">
        <v>43</v>
      </c>
      <c r="C134" s="37"/>
    </row>
    <row r="135" spans="2:11" ht="15" thickBot="1" x14ac:dyDescent="0.4"/>
    <row r="136" spans="2:11" ht="15" thickBot="1" x14ac:dyDescent="0.4">
      <c r="B136" s="170" t="s">
        <v>13</v>
      </c>
      <c r="C136" s="171" t="s">
        <v>130</v>
      </c>
      <c r="D136" s="2"/>
      <c r="F136" s="249"/>
      <c r="G136" s="249"/>
    </row>
    <row r="137" spans="2:11" ht="29" x14ac:dyDescent="0.35">
      <c r="B137" s="172" t="s">
        <v>132</v>
      </c>
      <c r="C137" s="173">
        <v>1.2</v>
      </c>
      <c r="D137" s="4"/>
      <c r="F137" s="244"/>
      <c r="G137" s="244"/>
    </row>
    <row r="138" spans="2:11" ht="30" customHeight="1" thickBot="1" x14ac:dyDescent="0.4">
      <c r="B138" s="174" t="s">
        <v>131</v>
      </c>
      <c r="C138" s="175">
        <v>1.3</v>
      </c>
      <c r="D138" s="4"/>
      <c r="F138" s="244"/>
      <c r="G138" s="244"/>
    </row>
    <row r="139" spans="2:11" ht="15" thickBot="1" x14ac:dyDescent="0.4"/>
    <row r="140" spans="2:11" ht="15.5" thickBot="1" x14ac:dyDescent="0.4">
      <c r="B140" s="200" t="s">
        <v>152</v>
      </c>
      <c r="C140" s="201" t="s">
        <v>130</v>
      </c>
      <c r="D140" s="261" t="s">
        <v>161</v>
      </c>
      <c r="E140" s="262"/>
      <c r="F140" s="262"/>
      <c r="G140" s="263"/>
    </row>
    <row r="141" spans="2:11" ht="15.5" x14ac:dyDescent="0.35">
      <c r="B141" s="252" t="s">
        <v>9</v>
      </c>
      <c r="C141" s="202">
        <v>1</v>
      </c>
      <c r="D141" s="264" t="s">
        <v>162</v>
      </c>
      <c r="E141" s="265"/>
      <c r="F141" s="265"/>
      <c r="G141" s="266"/>
    </row>
    <row r="142" spans="2:11" ht="16" thickBot="1" x14ac:dyDescent="0.4">
      <c r="B142" s="253"/>
      <c r="C142" s="203" t="s">
        <v>153</v>
      </c>
      <c r="D142" s="267" t="s">
        <v>163</v>
      </c>
      <c r="E142" s="268"/>
      <c r="F142" s="268"/>
      <c r="G142" s="269"/>
    </row>
    <row r="143" spans="2:11" ht="15.5" x14ac:dyDescent="0.35">
      <c r="B143" s="254" t="s">
        <v>21</v>
      </c>
      <c r="C143" s="202" t="s">
        <v>153</v>
      </c>
      <c r="D143" s="264" t="s">
        <v>164</v>
      </c>
      <c r="E143" s="265"/>
      <c r="F143" s="265"/>
      <c r="G143" s="266"/>
    </row>
    <row r="144" spans="2:11" ht="16" thickBot="1" x14ac:dyDescent="0.4">
      <c r="B144" s="255"/>
      <c r="C144" s="204" t="s">
        <v>154</v>
      </c>
      <c r="D144" s="267" t="s">
        <v>165</v>
      </c>
      <c r="E144" s="268"/>
      <c r="F144" s="268"/>
      <c r="G144" s="269"/>
    </row>
    <row r="145" spans="2:7" ht="15.5" x14ac:dyDescent="0.35">
      <c r="B145" s="254" t="s">
        <v>30</v>
      </c>
      <c r="C145" s="202" t="s">
        <v>153</v>
      </c>
      <c r="D145" s="264" t="s">
        <v>164</v>
      </c>
      <c r="E145" s="265"/>
      <c r="F145" s="265"/>
      <c r="G145" s="266"/>
    </row>
    <row r="146" spans="2:7" ht="16" thickBot="1" x14ac:dyDescent="0.4">
      <c r="B146" s="255"/>
      <c r="C146" s="204" t="s">
        <v>154</v>
      </c>
      <c r="D146" s="267" t="s">
        <v>165</v>
      </c>
      <c r="E146" s="268"/>
      <c r="F146" s="268"/>
      <c r="G146" s="269"/>
    </row>
    <row r="147" spans="2:7" ht="15.5" x14ac:dyDescent="0.35">
      <c r="B147" s="254" t="s">
        <v>96</v>
      </c>
      <c r="C147" s="202" t="s">
        <v>153</v>
      </c>
      <c r="D147" s="264" t="s">
        <v>164</v>
      </c>
      <c r="E147" s="265"/>
      <c r="F147" s="265"/>
      <c r="G147" s="266"/>
    </row>
    <row r="148" spans="2:7" ht="16" thickBot="1" x14ac:dyDescent="0.4">
      <c r="B148" s="255"/>
      <c r="C148" s="204" t="s">
        <v>154</v>
      </c>
      <c r="D148" s="267" t="s">
        <v>165</v>
      </c>
      <c r="E148" s="268"/>
      <c r="F148" s="268"/>
      <c r="G148" s="269"/>
    </row>
    <row r="149" spans="2:7" ht="15.5" x14ac:dyDescent="0.35">
      <c r="B149" s="254" t="s">
        <v>97</v>
      </c>
      <c r="C149" s="202" t="s">
        <v>153</v>
      </c>
      <c r="D149" s="264" t="s">
        <v>164</v>
      </c>
      <c r="E149" s="265"/>
      <c r="F149" s="265"/>
      <c r="G149" s="266"/>
    </row>
    <row r="150" spans="2:7" ht="16" thickBot="1" x14ac:dyDescent="0.4">
      <c r="B150" s="255"/>
      <c r="C150" s="204" t="s">
        <v>154</v>
      </c>
      <c r="D150" s="267" t="s">
        <v>165</v>
      </c>
      <c r="E150" s="268"/>
      <c r="F150" s="268"/>
      <c r="G150" s="269"/>
    </row>
    <row r="151" spans="2:7" ht="15.5" x14ac:dyDescent="0.35">
      <c r="B151" s="254" t="s">
        <v>32</v>
      </c>
      <c r="C151" s="202" t="s">
        <v>153</v>
      </c>
      <c r="D151" s="264" t="s">
        <v>164</v>
      </c>
      <c r="E151" s="265"/>
      <c r="F151" s="265"/>
      <c r="G151" s="266"/>
    </row>
    <row r="152" spans="2:7" ht="16" thickBot="1" x14ac:dyDescent="0.4">
      <c r="B152" s="255"/>
      <c r="C152" s="204" t="s">
        <v>154</v>
      </c>
      <c r="D152" s="267" t="s">
        <v>165</v>
      </c>
      <c r="E152" s="268"/>
      <c r="F152" s="268"/>
      <c r="G152" s="269"/>
    </row>
    <row r="153" spans="2:7" ht="15.5" x14ac:dyDescent="0.35">
      <c r="B153" s="254" t="s">
        <v>58</v>
      </c>
      <c r="C153" s="202">
        <v>1</v>
      </c>
      <c r="D153" s="270" t="s">
        <v>166</v>
      </c>
      <c r="E153" s="271"/>
      <c r="F153" s="271"/>
      <c r="G153" s="272"/>
    </row>
    <row r="154" spans="2:7" ht="15.5" x14ac:dyDescent="0.35">
      <c r="B154" s="256"/>
      <c r="C154" s="205" t="s">
        <v>155</v>
      </c>
      <c r="D154" s="273" t="s">
        <v>167</v>
      </c>
      <c r="E154" s="274"/>
      <c r="F154" s="274"/>
      <c r="G154" s="275"/>
    </row>
    <row r="155" spans="2:7" ht="16" thickBot="1" x14ac:dyDescent="0.4">
      <c r="B155" s="255"/>
      <c r="C155" s="203" t="s">
        <v>156</v>
      </c>
      <c r="D155" s="276" t="s">
        <v>168</v>
      </c>
      <c r="E155" s="277"/>
      <c r="F155" s="277"/>
      <c r="G155" s="278"/>
    </row>
    <row r="156" spans="2:7" ht="15.5" x14ac:dyDescent="0.35">
      <c r="B156" s="252" t="s">
        <v>62</v>
      </c>
      <c r="C156" s="202">
        <v>1</v>
      </c>
      <c r="D156" s="264" t="s">
        <v>169</v>
      </c>
      <c r="E156" s="265"/>
      <c r="F156" s="265"/>
      <c r="G156" s="266"/>
    </row>
    <row r="157" spans="2:7" ht="16" thickBot="1" x14ac:dyDescent="0.4">
      <c r="B157" s="253"/>
      <c r="C157" s="203" t="s">
        <v>157</v>
      </c>
      <c r="D157" s="267" t="s">
        <v>170</v>
      </c>
      <c r="E157" s="268"/>
      <c r="F157" s="268"/>
      <c r="G157" s="269"/>
    </row>
    <row r="158" spans="2:7" ht="15.5" x14ac:dyDescent="0.35">
      <c r="B158" s="257" t="s">
        <v>64</v>
      </c>
      <c r="C158" s="206">
        <v>1</v>
      </c>
      <c r="D158" s="264" t="s">
        <v>171</v>
      </c>
      <c r="E158" s="265"/>
      <c r="F158" s="265"/>
      <c r="G158" s="266"/>
    </row>
    <row r="159" spans="2:7" ht="16" thickBot="1" x14ac:dyDescent="0.4">
      <c r="B159" s="253"/>
      <c r="C159" s="203" t="s">
        <v>158</v>
      </c>
      <c r="D159" s="267" t="s">
        <v>172</v>
      </c>
      <c r="E159" s="268"/>
      <c r="F159" s="268"/>
      <c r="G159" s="269"/>
    </row>
    <row r="160" spans="2:7" ht="15.5" x14ac:dyDescent="0.35">
      <c r="B160" s="258" t="s">
        <v>159</v>
      </c>
      <c r="C160" s="207">
        <v>1</v>
      </c>
      <c r="D160" s="264" t="s">
        <v>173</v>
      </c>
      <c r="E160" s="265"/>
      <c r="F160" s="265"/>
      <c r="G160" s="266"/>
    </row>
    <row r="161" spans="2:7" ht="15.5" x14ac:dyDescent="0.35">
      <c r="B161" s="259"/>
      <c r="C161" s="208" t="s">
        <v>153</v>
      </c>
      <c r="D161" s="279" t="s">
        <v>174</v>
      </c>
      <c r="E161" s="280"/>
      <c r="F161" s="280"/>
      <c r="G161" s="281"/>
    </row>
    <row r="162" spans="2:7" ht="16" thickBot="1" x14ac:dyDescent="0.4">
      <c r="B162" s="260"/>
      <c r="C162" s="209" t="s">
        <v>154</v>
      </c>
      <c r="D162" s="267" t="s">
        <v>175</v>
      </c>
      <c r="E162" s="268"/>
      <c r="F162" s="268"/>
      <c r="G162" s="269"/>
    </row>
    <row r="163" spans="2:7" ht="15.5" x14ac:dyDescent="0.35">
      <c r="B163" s="254" t="s">
        <v>143</v>
      </c>
      <c r="C163" s="202">
        <v>1</v>
      </c>
      <c r="D163" s="264" t="s">
        <v>176</v>
      </c>
      <c r="E163" s="265"/>
      <c r="F163" s="265"/>
      <c r="G163" s="266"/>
    </row>
    <row r="164" spans="2:7" ht="15.5" x14ac:dyDescent="0.35">
      <c r="B164" s="256"/>
      <c r="C164" s="205" t="s">
        <v>155</v>
      </c>
      <c r="D164" s="279" t="s">
        <v>177</v>
      </c>
      <c r="E164" s="280"/>
      <c r="F164" s="280"/>
      <c r="G164" s="281"/>
    </row>
    <row r="165" spans="2:7" ht="16" thickBot="1" x14ac:dyDescent="0.4">
      <c r="B165" s="255"/>
      <c r="C165" s="210" t="s">
        <v>160</v>
      </c>
      <c r="D165" s="267" t="s">
        <v>178</v>
      </c>
      <c r="E165" s="268"/>
      <c r="F165" s="268"/>
      <c r="G165" s="269"/>
    </row>
    <row r="166" spans="2:7" ht="15.5" x14ac:dyDescent="0.35">
      <c r="B166" s="252" t="s">
        <v>149</v>
      </c>
      <c r="C166" s="202">
        <v>1</v>
      </c>
      <c r="D166" s="282" t="s">
        <v>179</v>
      </c>
      <c r="E166" s="283"/>
      <c r="F166" s="283"/>
      <c r="G166" s="284"/>
    </row>
    <row r="167" spans="2:7" ht="15.5" x14ac:dyDescent="0.35">
      <c r="B167" s="257"/>
      <c r="C167" s="211" t="s">
        <v>153</v>
      </c>
      <c r="D167" s="285" t="s">
        <v>180</v>
      </c>
      <c r="E167" s="286"/>
      <c r="F167" s="286"/>
      <c r="G167" s="287"/>
    </row>
    <row r="168" spans="2:7" ht="16" thickBot="1" x14ac:dyDescent="0.4">
      <c r="B168" s="253"/>
      <c r="C168" s="212" t="s">
        <v>156</v>
      </c>
      <c r="D168" s="288" t="s">
        <v>181</v>
      </c>
      <c r="E168" s="289"/>
      <c r="F168" s="289"/>
      <c r="G168" s="290"/>
    </row>
  </sheetData>
  <sheetProtection algorithmName="SHA-512" hashValue="Hb62nW9kzAjAbg4Z/AAPPbhpI/TSlLd4MgFY/b887vKtIoNm9cFmD+rxk2eepomYllk9xgKiUoeswrQns7gk5g==" saltValue="IO5ZrObKnGhPHlIaWaaFmQ==" spinCount="100000" sheet="1" selectLockedCells="1"/>
  <mergeCells count="96">
    <mergeCell ref="D164:G164"/>
    <mergeCell ref="D165:G165"/>
    <mergeCell ref="D166:G166"/>
    <mergeCell ref="D167:G167"/>
    <mergeCell ref="D168:G168"/>
    <mergeCell ref="D159:G159"/>
    <mergeCell ref="D160:G160"/>
    <mergeCell ref="D161:G161"/>
    <mergeCell ref="D162:G162"/>
    <mergeCell ref="D163:G163"/>
    <mergeCell ref="D154:G154"/>
    <mergeCell ref="D155:G155"/>
    <mergeCell ref="D156:G156"/>
    <mergeCell ref="D157:G157"/>
    <mergeCell ref="D158:G158"/>
    <mergeCell ref="B163:B165"/>
    <mergeCell ref="B166:B168"/>
    <mergeCell ref="D140:G140"/>
    <mergeCell ref="D141:G141"/>
    <mergeCell ref="D142:G142"/>
    <mergeCell ref="D143:G143"/>
    <mergeCell ref="D144:G144"/>
    <mergeCell ref="D145:G145"/>
    <mergeCell ref="D146:G146"/>
    <mergeCell ref="D147:G147"/>
    <mergeCell ref="D148:G148"/>
    <mergeCell ref="D149:G149"/>
    <mergeCell ref="D150:G150"/>
    <mergeCell ref="D151:G151"/>
    <mergeCell ref="D152:G152"/>
    <mergeCell ref="D153:G153"/>
    <mergeCell ref="B151:B152"/>
    <mergeCell ref="B153:B155"/>
    <mergeCell ref="B156:B157"/>
    <mergeCell ref="B158:B159"/>
    <mergeCell ref="B160:B162"/>
    <mergeCell ref="B141:B142"/>
    <mergeCell ref="B143:B144"/>
    <mergeCell ref="B145:B146"/>
    <mergeCell ref="B147:B148"/>
    <mergeCell ref="B149:B150"/>
    <mergeCell ref="F136:G136"/>
    <mergeCell ref="F137:G137"/>
    <mergeCell ref="F138:G138"/>
    <mergeCell ref="I104:L104"/>
    <mergeCell ref="I109:J109"/>
    <mergeCell ref="I111:J111"/>
    <mergeCell ref="I114:J114"/>
    <mergeCell ref="I119:K119"/>
    <mergeCell ref="J122:K122"/>
    <mergeCell ref="I120:K120"/>
    <mergeCell ref="I121:K121"/>
    <mergeCell ref="G103:H103"/>
    <mergeCell ref="K80:L80"/>
    <mergeCell ref="K81:L81"/>
    <mergeCell ref="B90:D90"/>
    <mergeCell ref="B91:B92"/>
    <mergeCell ref="C91:C92"/>
    <mergeCell ref="D91:D92"/>
    <mergeCell ref="E91:E92"/>
    <mergeCell ref="F91:F92"/>
    <mergeCell ref="G91:H91"/>
    <mergeCell ref="I93:L93"/>
    <mergeCell ref="I97:J97"/>
    <mergeCell ref="G99:H99"/>
    <mergeCell ref="G100:H100"/>
    <mergeCell ref="K79:O79"/>
    <mergeCell ref="K62:L62"/>
    <mergeCell ref="K65:L65"/>
    <mergeCell ref="K66:L66"/>
    <mergeCell ref="K67:L67"/>
    <mergeCell ref="K69:L69"/>
    <mergeCell ref="K70:L70"/>
    <mergeCell ref="K71:L71"/>
    <mergeCell ref="K72:M72"/>
    <mergeCell ref="K73:L73"/>
    <mergeCell ref="K74:R74"/>
    <mergeCell ref="K76:L76"/>
    <mergeCell ref="K61:L61"/>
    <mergeCell ref="I9:L9"/>
    <mergeCell ref="I12:K12"/>
    <mergeCell ref="I15:K15"/>
    <mergeCell ref="E32:H32"/>
    <mergeCell ref="K52:L52"/>
    <mergeCell ref="K53:L53"/>
    <mergeCell ref="K56:O56"/>
    <mergeCell ref="K58:M58"/>
    <mergeCell ref="K59:S59"/>
    <mergeCell ref="B48:D48"/>
    <mergeCell ref="K50:L50"/>
    <mergeCell ref="B4:D4"/>
    <mergeCell ref="B5:B6"/>
    <mergeCell ref="C5:D5"/>
    <mergeCell ref="E5:E6"/>
    <mergeCell ref="F5:F6"/>
    <mergeCell ref="G5:H5"/>
  </mergeCells>
  <pageMargins left="0.7" right="0.7" top="0.75" bottom="0.75" header="0.3" footer="0.3"/>
  <ignoredErrors>
    <ignoredError sqref="G111" formula="1"/>
  </ignoredErrors>
  <extLst>
    <ext xmlns:x14="http://schemas.microsoft.com/office/spreadsheetml/2009/9/main" uri="{CCE6A557-97BC-4b89-ADB6-D9C93CAAB3DF}">
      <x14:dataValidations xmlns:xm="http://schemas.microsoft.com/office/excel/2006/main" count="8">
        <x14:dataValidation type="list" allowBlank="1" showInputMessage="1" showErrorMessage="1" xr:uid="{8AB1AE24-BCC4-4DFC-AFA5-2DA403CB362D}">
          <x14:formula1>
            <xm:f>Sheet2!$B$48:$C$48</xm:f>
          </x14:formula1>
          <xm:sqref>F111</xm:sqref>
        </x14:dataValidation>
        <x14:dataValidation type="list" allowBlank="1" showInputMessage="1" showErrorMessage="1" xr:uid="{D257B420-A5F1-4AE4-B464-EE17F60E3F9A}">
          <x14:formula1>
            <xm:f>Sheet2!$B$42:$D$42</xm:f>
          </x14:formula1>
          <xm:sqref>F105</xm:sqref>
        </x14:dataValidation>
        <x14:dataValidation type="list" allowBlank="1" showInputMessage="1" showErrorMessage="1" xr:uid="{8BD6C310-5CC9-49AC-99AB-3994412F576F}">
          <x14:formula1>
            <xm:f>Sheet2!$F$13:$F$14</xm:f>
          </x14:formula1>
          <xm:sqref>F95:F98 F102</xm:sqref>
        </x14:dataValidation>
        <x14:dataValidation type="list" allowBlank="1" showInputMessage="1" showErrorMessage="1" xr:uid="{9B20EBEC-DBC0-4BCB-8EE0-6D884F2597A9}">
          <x14:formula1>
            <xm:f>Sheet2!$H$16:$H$17</xm:f>
          </x14:formula1>
          <xm:sqref>F109</xm:sqref>
        </x14:dataValidation>
        <x14:dataValidation type="list" allowBlank="1" showInputMessage="1" showErrorMessage="1" xr:uid="{BFF5A3B9-3319-4637-B425-208D44612A47}">
          <x14:formula1>
            <xm:f>Sheet2!$B$49:$C$49</xm:f>
          </x14:formula1>
          <xm:sqref>F115</xm:sqref>
        </x14:dataValidation>
        <x14:dataValidation type="list" allowBlank="1" showInputMessage="1" showErrorMessage="1" xr:uid="{B8B811AE-1AA6-40DC-A73B-6AD853881CA6}">
          <x14:formula1>
            <xm:f>Sheet5!B1:D1</xm:f>
          </x14:formula1>
          <xm:sqref>F125</xm:sqref>
        </x14:dataValidation>
        <x14:dataValidation type="list" allowBlank="1" showInputMessage="1" showErrorMessage="1" xr:uid="{747AE92B-8B7F-4425-A630-105935BC891E}">
          <x14:formula1>
            <xm:f>Sheet5!$B$2:$D$2</xm:f>
          </x14:formula1>
          <xm:sqref>F126</xm:sqref>
        </x14:dataValidation>
        <x14:dataValidation type="list" allowBlank="1" showInputMessage="1" showErrorMessage="1" xr:uid="{C7F8A436-B707-4B55-B2C4-C617A85DBEF2}">
          <x14:formula1>
            <xm:f>Sheet5!$B$3:$D$3</xm:f>
          </x14:formula1>
          <xm:sqref>F131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A0724-B329-4315-819E-02636D250407}">
  <dimension ref="A1:D3"/>
  <sheetViews>
    <sheetView topLeftCell="F1" workbookViewId="0">
      <selection activeCell="I10" sqref="I10"/>
    </sheetView>
  </sheetViews>
  <sheetFormatPr defaultRowHeight="14.5" x14ac:dyDescent="0.35"/>
  <cols>
    <col min="1" max="5" width="0" hidden="1" customWidth="1"/>
  </cols>
  <sheetData>
    <row r="1" spans="1:4" x14ac:dyDescent="0.35">
      <c r="A1" t="s">
        <v>159</v>
      </c>
      <c r="B1">
        <v>1</v>
      </c>
      <c r="C1">
        <v>1.2</v>
      </c>
      <c r="D1">
        <v>1.3</v>
      </c>
    </row>
    <row r="2" spans="1:4" x14ac:dyDescent="0.35">
      <c r="A2" t="s">
        <v>182</v>
      </c>
      <c r="B2">
        <v>1</v>
      </c>
      <c r="C2">
        <v>1.4</v>
      </c>
      <c r="D2">
        <v>2.1</v>
      </c>
    </row>
    <row r="3" spans="1:4" x14ac:dyDescent="0.35">
      <c r="A3" t="s">
        <v>183</v>
      </c>
      <c r="B3">
        <v>1</v>
      </c>
      <c r="C3">
        <v>1.2</v>
      </c>
      <c r="D3">
        <v>2</v>
      </c>
    </row>
  </sheetData>
  <sheetProtection algorithmName="SHA-512" hashValue="CSFqzoGnReHKn3WHWZ0NC2GfIgONAZ9F8s66y5SKz4li2DeeSyZLl3kZj6LGOWGyCKIjO05HYx9URBAgCtl27w==" saltValue="YdBhguSRXCdpbYh/zWJcmg=="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9"/>
  <sheetViews>
    <sheetView topLeftCell="A56" zoomScale="85" zoomScaleNormal="85" workbookViewId="0">
      <selection activeCell="E66" sqref="E66"/>
    </sheetView>
  </sheetViews>
  <sheetFormatPr defaultRowHeight="14.5" x14ac:dyDescent="0.35"/>
  <cols>
    <col min="1" max="1" width="17.81640625" bestFit="1" customWidth="1"/>
    <col min="2" max="2" width="13.453125" customWidth="1"/>
    <col min="3" max="3" width="15.54296875" customWidth="1"/>
    <col min="4" max="4" width="18.26953125" customWidth="1"/>
    <col min="5" max="5" width="10.7265625" customWidth="1"/>
    <col min="6" max="6" width="11" customWidth="1"/>
  </cols>
  <sheetData>
    <row r="1" spans="1:12" ht="15" thickBot="1" x14ac:dyDescent="0.4"/>
    <row r="2" spans="1:12" x14ac:dyDescent="0.35">
      <c r="A2" s="291" t="s">
        <v>1</v>
      </c>
      <c r="B2" s="293" t="s">
        <v>2</v>
      </c>
      <c r="C2" s="293"/>
      <c r="D2" s="293"/>
      <c r="E2" s="294" t="s">
        <v>6</v>
      </c>
      <c r="F2" s="295"/>
    </row>
    <row r="3" spans="1:12" ht="70.5" customHeight="1" thickBot="1" x14ac:dyDescent="0.4">
      <c r="A3" s="292"/>
      <c r="B3" s="10" t="s">
        <v>3</v>
      </c>
      <c r="C3" s="2" t="s">
        <v>19</v>
      </c>
      <c r="D3" s="2" t="s">
        <v>5</v>
      </c>
      <c r="E3" s="11" t="s">
        <v>7</v>
      </c>
      <c r="F3" s="12" t="s">
        <v>8</v>
      </c>
      <c r="J3" s="2" t="s">
        <v>19</v>
      </c>
      <c r="K3" s="5" t="s">
        <v>5</v>
      </c>
    </row>
    <row r="4" spans="1:12" ht="17.5" customHeight="1" x14ac:dyDescent="0.35">
      <c r="A4" s="6" t="s">
        <v>9</v>
      </c>
      <c r="B4" s="7">
        <v>5.2</v>
      </c>
      <c r="C4" s="8">
        <v>6</v>
      </c>
      <c r="D4" s="8">
        <v>50</v>
      </c>
      <c r="E4" s="50">
        <f>B4*C4*D4/1000</f>
        <v>1.5600000000000003</v>
      </c>
      <c r="F4" s="51">
        <f t="shared" ref="F4" si="0">1/E4</f>
        <v>0.64102564102564086</v>
      </c>
      <c r="I4">
        <v>1</v>
      </c>
      <c r="J4" s="4">
        <v>4</v>
      </c>
      <c r="K4">
        <v>50</v>
      </c>
    </row>
    <row r="5" spans="1:12" x14ac:dyDescent="0.35">
      <c r="A5" s="15" t="s">
        <v>10</v>
      </c>
      <c r="B5" s="14">
        <v>11</v>
      </c>
      <c r="C5" s="13">
        <v>14</v>
      </c>
      <c r="D5" s="13">
        <v>60</v>
      </c>
      <c r="E5" s="52">
        <f>B5*C5*D5/1000</f>
        <v>9.24</v>
      </c>
      <c r="F5" s="53">
        <f t="shared" ref="F5" si="1">1/E5</f>
        <v>0.10822510822510822</v>
      </c>
      <c r="I5">
        <v>2</v>
      </c>
      <c r="J5" s="2">
        <v>5</v>
      </c>
      <c r="K5">
        <v>60</v>
      </c>
    </row>
    <row r="6" spans="1:12" x14ac:dyDescent="0.35">
      <c r="A6" s="16" t="s">
        <v>14</v>
      </c>
      <c r="B6" s="3">
        <v>4</v>
      </c>
      <c r="C6" s="13">
        <v>10</v>
      </c>
      <c r="D6" s="13">
        <v>90</v>
      </c>
      <c r="E6" s="52">
        <f>B6*C6*D6/1000</f>
        <v>3.6</v>
      </c>
      <c r="F6" s="53">
        <f t="shared" ref="F6" si="2">1/E6</f>
        <v>0.27777777777777779</v>
      </c>
      <c r="I6">
        <v>3</v>
      </c>
      <c r="J6" s="2">
        <v>6</v>
      </c>
      <c r="K6">
        <v>70</v>
      </c>
    </row>
    <row r="7" spans="1:12" ht="15" thickBot="1" x14ac:dyDescent="0.4">
      <c r="A7" s="17" t="s">
        <v>20</v>
      </c>
      <c r="B7" s="18">
        <v>5</v>
      </c>
      <c r="C7" s="9">
        <v>6</v>
      </c>
      <c r="D7" s="9">
        <v>80</v>
      </c>
      <c r="E7" s="54">
        <f>B7*C7*D7/1000</f>
        <v>2.4</v>
      </c>
      <c r="F7" s="55">
        <f t="shared" ref="F7" si="3">1/E7</f>
        <v>0.41666666666666669</v>
      </c>
      <c r="I7">
        <v>4</v>
      </c>
      <c r="J7" s="2">
        <v>7</v>
      </c>
      <c r="K7">
        <v>80</v>
      </c>
    </row>
    <row r="8" spans="1:12" x14ac:dyDescent="0.35">
      <c r="A8" s="19"/>
      <c r="B8" s="19"/>
      <c r="C8" s="2"/>
      <c r="D8" s="2"/>
      <c r="E8" s="4"/>
      <c r="F8" s="20"/>
      <c r="J8" s="2">
        <v>8</v>
      </c>
      <c r="K8">
        <v>90</v>
      </c>
    </row>
    <row r="9" spans="1:12" ht="15" thickBot="1" x14ac:dyDescent="0.4">
      <c r="A9" s="19"/>
      <c r="J9" s="4">
        <v>9</v>
      </c>
      <c r="K9">
        <v>95</v>
      </c>
    </row>
    <row r="10" spans="1:12" ht="44" thickBot="1" x14ac:dyDescent="0.4">
      <c r="A10" s="19"/>
      <c r="B10" s="2" t="s">
        <v>19</v>
      </c>
      <c r="C10" s="5" t="s">
        <v>5</v>
      </c>
      <c r="D10" s="2"/>
      <c r="E10" s="29" t="s">
        <v>13</v>
      </c>
      <c r="F10" s="30" t="s">
        <v>29</v>
      </c>
      <c r="J10" s="2">
        <v>10</v>
      </c>
    </row>
    <row r="11" spans="1:12" x14ac:dyDescent="0.35">
      <c r="A11" s="19"/>
      <c r="B11" s="4">
        <v>4</v>
      </c>
      <c r="C11">
        <v>50</v>
      </c>
      <c r="E11" s="27"/>
      <c r="F11" s="28">
        <v>1</v>
      </c>
      <c r="H11" t="s">
        <v>9</v>
      </c>
      <c r="J11" s="2">
        <v>12</v>
      </c>
      <c r="L11" s="31"/>
    </row>
    <row r="12" spans="1:12" x14ac:dyDescent="0.35">
      <c r="A12" s="19"/>
      <c r="B12" s="2">
        <v>5</v>
      </c>
      <c r="C12">
        <v>60</v>
      </c>
      <c r="E12" s="25"/>
      <c r="F12" s="23">
        <v>1.1000000000000001</v>
      </c>
      <c r="H12" t="s">
        <v>10</v>
      </c>
      <c r="J12" s="2">
        <v>14</v>
      </c>
      <c r="L12" s="31"/>
    </row>
    <row r="13" spans="1:12" x14ac:dyDescent="0.35">
      <c r="A13" s="19"/>
      <c r="B13" s="2">
        <v>6</v>
      </c>
      <c r="C13">
        <v>70</v>
      </c>
      <c r="E13" s="25"/>
      <c r="F13" s="23">
        <v>1.2</v>
      </c>
      <c r="H13" t="s">
        <v>14</v>
      </c>
      <c r="J13" s="2">
        <v>16</v>
      </c>
    </row>
    <row r="14" spans="1:12" ht="15" thickBot="1" x14ac:dyDescent="0.4">
      <c r="B14" s="2">
        <v>7</v>
      </c>
      <c r="C14">
        <v>80</v>
      </c>
      <c r="E14" s="26"/>
      <c r="F14" s="24">
        <v>1.3</v>
      </c>
      <c r="H14" t="s">
        <v>20</v>
      </c>
      <c r="J14" s="2">
        <v>18</v>
      </c>
    </row>
    <row r="15" spans="1:12" x14ac:dyDescent="0.35">
      <c r="B15" s="4">
        <v>8</v>
      </c>
      <c r="C15">
        <v>90</v>
      </c>
      <c r="J15" s="2">
        <v>20</v>
      </c>
    </row>
    <row r="16" spans="1:12" x14ac:dyDescent="0.35">
      <c r="B16" s="2">
        <v>10</v>
      </c>
      <c r="C16">
        <v>95</v>
      </c>
      <c r="G16">
        <v>1</v>
      </c>
      <c r="H16">
        <v>1</v>
      </c>
      <c r="J16" s="2">
        <v>22</v>
      </c>
    </row>
    <row r="17" spans="1:10" x14ac:dyDescent="0.35">
      <c r="B17" s="2">
        <v>12</v>
      </c>
      <c r="G17">
        <v>1.2</v>
      </c>
      <c r="H17">
        <v>1.6</v>
      </c>
      <c r="J17" s="21">
        <v>20</v>
      </c>
    </row>
    <row r="18" spans="1:10" x14ac:dyDescent="0.35">
      <c r="B18" s="2">
        <v>14</v>
      </c>
      <c r="J18" s="21">
        <v>30</v>
      </c>
    </row>
    <row r="19" spans="1:10" ht="29" x14ac:dyDescent="0.35">
      <c r="B19" s="2">
        <v>16</v>
      </c>
      <c r="E19" s="28" t="s">
        <v>79</v>
      </c>
      <c r="J19" s="2">
        <v>40</v>
      </c>
    </row>
    <row r="20" spans="1:10" x14ac:dyDescent="0.35">
      <c r="A20" s="296"/>
      <c r="B20" s="2">
        <v>18</v>
      </c>
      <c r="E20" s="23" t="s">
        <v>80</v>
      </c>
    </row>
    <row r="21" spans="1:10" x14ac:dyDescent="0.35">
      <c r="A21" s="296"/>
      <c r="B21" s="2">
        <v>20</v>
      </c>
      <c r="E21" s="23" t="s">
        <v>81</v>
      </c>
    </row>
    <row r="22" spans="1:10" x14ac:dyDescent="0.35">
      <c r="A22" s="296"/>
      <c r="B22" s="2">
        <v>22</v>
      </c>
    </row>
    <row r="23" spans="1:10" x14ac:dyDescent="0.35">
      <c r="A23" s="296"/>
    </row>
    <row r="24" spans="1:10" x14ac:dyDescent="0.35">
      <c r="A24" s="296"/>
      <c r="B24" s="22"/>
      <c r="C24" s="21"/>
      <c r="D24" s="4" t="s">
        <v>41</v>
      </c>
    </row>
    <row r="25" spans="1:10" x14ac:dyDescent="0.35">
      <c r="B25" t="s">
        <v>36</v>
      </c>
      <c r="C25" t="s">
        <v>38</v>
      </c>
      <c r="D25">
        <v>1.5</v>
      </c>
    </row>
    <row r="26" spans="1:10" x14ac:dyDescent="0.35">
      <c r="C26" t="s">
        <v>37</v>
      </c>
      <c r="D26">
        <v>1.4</v>
      </c>
    </row>
    <row r="27" spans="1:10" x14ac:dyDescent="0.35">
      <c r="C27" t="s">
        <v>39</v>
      </c>
      <c r="D27">
        <v>1.3</v>
      </c>
    </row>
    <row r="28" spans="1:10" x14ac:dyDescent="0.35">
      <c r="C28" t="s">
        <v>40</v>
      </c>
      <c r="D28">
        <v>1.2</v>
      </c>
    </row>
    <row r="29" spans="1:10" x14ac:dyDescent="0.35">
      <c r="D29">
        <v>1.1000000000000001</v>
      </c>
    </row>
    <row r="30" spans="1:10" x14ac:dyDescent="0.35">
      <c r="A30" t="s">
        <v>46</v>
      </c>
      <c r="B30" t="s">
        <v>48</v>
      </c>
    </row>
    <row r="31" spans="1:10" x14ac:dyDescent="0.35">
      <c r="B31" t="s">
        <v>47</v>
      </c>
    </row>
    <row r="32" spans="1:10" ht="29" x14ac:dyDescent="0.35">
      <c r="A32" s="32" t="s">
        <v>51</v>
      </c>
      <c r="B32" s="39" t="s">
        <v>50</v>
      </c>
      <c r="C32" s="39"/>
      <c r="D32" s="39"/>
    </row>
    <row r="33" spans="1:6" x14ac:dyDescent="0.35">
      <c r="B33" t="s">
        <v>52</v>
      </c>
    </row>
    <row r="35" spans="1:6" ht="43.5" x14ac:dyDescent="0.35">
      <c r="A35" s="32" t="s">
        <v>55</v>
      </c>
      <c r="B35" t="s">
        <v>54</v>
      </c>
    </row>
    <row r="36" spans="1:6" x14ac:dyDescent="0.35">
      <c r="A36" t="s">
        <v>77</v>
      </c>
      <c r="B36">
        <v>1.5</v>
      </c>
    </row>
    <row r="37" spans="1:6" x14ac:dyDescent="0.35">
      <c r="B37">
        <v>2</v>
      </c>
    </row>
    <row r="38" spans="1:6" x14ac:dyDescent="0.35">
      <c r="B38">
        <v>3</v>
      </c>
    </row>
    <row r="39" spans="1:6" x14ac:dyDescent="0.35">
      <c r="B39">
        <v>4</v>
      </c>
    </row>
    <row r="40" spans="1:6" x14ac:dyDescent="0.35">
      <c r="B40">
        <v>5</v>
      </c>
    </row>
    <row r="41" spans="1:6" x14ac:dyDescent="0.35">
      <c r="A41" t="s">
        <v>78</v>
      </c>
      <c r="B41">
        <v>8</v>
      </c>
      <c r="C41">
        <v>10</v>
      </c>
      <c r="D41">
        <v>12</v>
      </c>
      <c r="E41">
        <v>14</v>
      </c>
      <c r="F41">
        <v>16</v>
      </c>
    </row>
    <row r="42" spans="1:6" x14ac:dyDescent="0.35">
      <c r="A42" t="s">
        <v>82</v>
      </c>
      <c r="B42">
        <v>1</v>
      </c>
      <c r="C42">
        <v>1.4</v>
      </c>
      <c r="D42">
        <v>2</v>
      </c>
    </row>
    <row r="43" spans="1:6" x14ac:dyDescent="0.35">
      <c r="A43" t="s">
        <v>83</v>
      </c>
      <c r="B43">
        <v>8</v>
      </c>
      <c r="C43">
        <v>10</v>
      </c>
      <c r="D43">
        <v>12</v>
      </c>
    </row>
    <row r="44" spans="1:6" x14ac:dyDescent="0.35">
      <c r="A44" t="s">
        <v>60</v>
      </c>
      <c r="B44">
        <v>8</v>
      </c>
      <c r="C44">
        <v>10</v>
      </c>
      <c r="D44">
        <v>12</v>
      </c>
    </row>
    <row r="45" spans="1:6" x14ac:dyDescent="0.35">
      <c r="A45" t="s">
        <v>84</v>
      </c>
      <c r="B45">
        <v>1</v>
      </c>
      <c r="C45">
        <v>1.6</v>
      </c>
    </row>
    <row r="46" spans="1:6" x14ac:dyDescent="0.35">
      <c r="A46" t="s">
        <v>88</v>
      </c>
      <c r="B46">
        <v>5</v>
      </c>
      <c r="C46">
        <v>6</v>
      </c>
      <c r="D46">
        <v>7</v>
      </c>
      <c r="E46">
        <v>8</v>
      </c>
    </row>
    <row r="47" spans="1:6" x14ac:dyDescent="0.35">
      <c r="A47" t="s">
        <v>89</v>
      </c>
      <c r="B47">
        <v>1</v>
      </c>
      <c r="C47">
        <v>2</v>
      </c>
      <c r="D47">
        <v>3</v>
      </c>
      <c r="E47">
        <v>4</v>
      </c>
      <c r="F47">
        <v>5</v>
      </c>
    </row>
    <row r="48" spans="1:6" x14ac:dyDescent="0.35">
      <c r="A48" t="s">
        <v>90</v>
      </c>
      <c r="B48">
        <v>1</v>
      </c>
      <c r="C48">
        <v>1.7</v>
      </c>
    </row>
    <row r="49" spans="1:3" x14ac:dyDescent="0.35">
      <c r="A49" t="s">
        <v>135</v>
      </c>
      <c r="B49">
        <v>1</v>
      </c>
      <c r="C49">
        <v>1.4</v>
      </c>
    </row>
  </sheetData>
  <mergeCells count="4">
    <mergeCell ref="A2:A3"/>
    <mergeCell ref="B2:D2"/>
    <mergeCell ref="E2:F2"/>
    <mergeCell ref="A20:A24"/>
  </mergeCells>
  <dataValidations disablePrompts="1" count="7">
    <dataValidation type="list" allowBlank="1" showInputMessage="1" showErrorMessage="1" sqref="C4" xr:uid="{00000000-0002-0000-0100-000000000000}">
      <formula1>$J$5:$J$9</formula1>
    </dataValidation>
    <dataValidation type="list" allowBlank="1" showInputMessage="1" showErrorMessage="1" sqref="D4" xr:uid="{00000000-0002-0000-0100-000001000000}">
      <formula1>$K$4:$K$7</formula1>
    </dataValidation>
    <dataValidation type="list" allowBlank="1" showInputMessage="1" showErrorMessage="1" sqref="C5:C6" xr:uid="{00000000-0002-0000-0100-000002000000}">
      <formula1>$J$8:$J$13</formula1>
    </dataValidation>
    <dataValidation type="list" allowBlank="1" showInputMessage="1" showErrorMessage="1" sqref="D5" xr:uid="{00000000-0002-0000-0100-000003000000}">
      <formula1>$K$5:$K$9</formula1>
    </dataValidation>
    <dataValidation type="list" allowBlank="1" showInputMessage="1" showErrorMessage="1" sqref="D6" xr:uid="{00000000-0002-0000-0100-000004000000}">
      <formula1>$K$7:$K$9</formula1>
    </dataValidation>
    <dataValidation type="list" allowBlank="1" showInputMessage="1" showErrorMessage="1" sqref="C7" xr:uid="{00000000-0002-0000-0100-000005000000}">
      <formula1>$J$6:$J$13</formula1>
    </dataValidation>
    <dataValidation type="list" allowBlank="1" showInputMessage="1" showErrorMessage="1" sqref="D7" xr:uid="{00000000-0002-0000-0100-000006000000}">
      <formula1>$K$6:$K$9</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I D A A B Q S w M E F A A C A A g A 2 Z q K V 1 i s Q J 2 i A A A A 9 g A A A B I A H A B D b 2 5 m a W c v U G F j a 2 F n Z S 5 4 b W w g o h g A K K A U A A A A A A A A A A A A A A A A A A A A A A A A A A A A h Y + 9 D o I w G E V f h X S n f y 6 G f J T B F R I T j X F t S o U G K I Y W y 7 s 5 + E i + g h h F 3 R z v u W e 4 9 3 6 9 Q T Z 1 b X T R g z O 9 T R H D F E X a q r 4 0 t k r R 6 E / x G m U C t l I 1 s t L R L F u X T K 5 M U e 3 9 O S E k h I D D C v d D R T i l j B y L f K d q 3 U n 0 k c 1 / O T b W e W m V R g I O r z G C Y 8 Y Z 5 p R j C m S B U B j 7 F e a e P t s f C J u x 9 e O g R e v j f A 9 k i U D e H 8 Q D U E s D B B Q A A g A I A N m a i l 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Z m o p X K I p H u A 4 A A A A R A A A A E w A c A E Z v c m 1 1 b G F z L 1 N l Y 3 R p b 2 4 x L m 0 g o h g A K K A U A A A A A A A A A A A A A A A A A A A A A A A A A A A A K 0 5 N L s n M z 1 M I h t C G 1 g B Q S w E C L Q A U A A I A C A D Z m o p X W K x A n a I A A A D 2 A A A A E g A A A A A A A A A A A A A A A A A A A A A A Q 2 9 u Z m l n L 1 B h Y 2 t h Z 2 U u e G 1 s U E s B A i 0 A F A A C A A g A 2 Z q K V w / K 6 a u k A A A A 6 Q A A A B M A A A A A A A A A A A A A A A A A 7 g A A A F t D b 2 5 0 Z W 5 0 X 1 R 5 c G V z X S 5 4 b W x Q S w E C L Q A U A A I A C A D Z m o p X K I p H u A 4 A A A A R A A A A E w A A A A A A A A A A A A A A A A D f A Q A A R m 9 y b X V s Y X M v U 2 V j d G l v b j E u b V B L B Q Y A A A A A A w A D A M I A A A A 6 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N E W u W N J 4 C k + h 1 r 3 m x l / 5 j A A A A A A C A A A A A A A D Z g A A w A A A A B A A A A D i b Q v X D t g B j N E a + P j 0 d N k 0 A A A A A A S A A A C g A A A A E A A A A A z C 7 g 7 W V v w H G E x w Z 3 J w + a R Q A A A A L 1 n F k D N m p 5 y E d p s f e n s / n S u W Z T 7 f P b H V / b V m t l V V 5 0 f O 4 w Y U p d + p E p W w L U m / L E O L u f l s 1 M u k X f o l 3 5 c 3 1 w Q w Y r / P t B m 7 M 2 Q z G 5 m 5 f I U p 6 + s U A A A A K x t r 3 O c s p H L T p r 2 n m i u S S 1 s F o R s = < / D a t a M a s h u p > 
</file>

<file path=customXml/itemProps1.xml><?xml version="1.0" encoding="utf-8"?>
<ds:datastoreItem xmlns:ds="http://schemas.openxmlformats.org/officeDocument/2006/customXml" ds:itemID="{DB00C638-BBAB-4930-97FA-78D4BCBC67B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PAREIŠKĖJO skaičiuoklė</vt:lpstr>
      <vt:lpstr>Sheet5</vt:lpstr>
      <vt:lpstr>Sheet2</vt:lpstr>
    </vt:vector>
  </TitlesOfParts>
  <Company>AGCO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Juostas, Antanas (External)</dc:creator>
  <cp:lastModifiedBy>Juostas, Antanas (External)</cp:lastModifiedBy>
  <dcterms:created xsi:type="dcterms:W3CDTF">2023-06-08T06:47:38Z</dcterms:created>
  <dcterms:modified xsi:type="dcterms:W3CDTF">2026-02-03T10:24:34Z</dcterms:modified>
</cp:coreProperties>
</file>